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ЭтаКнига" defaultThemeVersion="124226"/>
  <mc:AlternateContent xmlns:mc="http://schemas.openxmlformats.org/markup-compatibility/2006">
    <mc:Choice Requires="x15">
      <x15ac:absPath xmlns:x15ac="http://schemas.microsoft.com/office/spreadsheetml/2010/11/ac" url="\\10.15.192.19\d$\FileShares\COMMON\CHN_Tariffs\Раскрытие информации\Инвестиционная программа\2020\"/>
    </mc:Choice>
  </mc:AlternateContent>
  <bookViews>
    <workbookView xWindow="0" yWindow="0" windowWidth="28800" windowHeight="12330" tabRatio="886" activeTab="4"/>
  </bookViews>
  <sheets>
    <sheet name="Инструкция" sheetId="518" r:id="rId1"/>
    <sheet name="Лог обновления" sheetId="429" state="veryHidden" r:id="rId2"/>
    <sheet name="Титульный" sheetId="521" r:id="rId3"/>
    <sheet name="Территории ИП" sheetId="537" r:id="rId4"/>
    <sheet name="ИП" sheetId="522" r:id="rId5"/>
    <sheet name="Комментарии" sheetId="534" r:id="rId6"/>
    <sheet name="Проверка" sheetId="432" r:id="rId7"/>
    <sheet name="AllSheetsInThisWorkbook" sheetId="389" state="veryHidden" r:id="rId8"/>
    <sheet name="TEHSHEET" sheetId="205" state="veryHidden" r:id="rId9"/>
    <sheet name="et_union" sheetId="527" state="veryHidden" r:id="rId10"/>
    <sheet name="mod_00" sheetId="549" state="veryHidden" r:id="rId11"/>
    <sheet name="mod_01" sheetId="550" state="veryHidden" r:id="rId12"/>
    <sheet name="mod_02" sheetId="551" state="veryHidden" r:id="rId13"/>
    <sheet name="mod_com" sheetId="535" state="veryHidden" r:id="rId14"/>
    <sheet name="modProv" sheetId="552" state="veryHidden" r:id="rId15"/>
    <sheet name="modFill" sheetId="533" state="veryHidden" r:id="rId16"/>
    <sheet name="modHTTP" sheetId="536" state="veryHidden" r:id="rId17"/>
    <sheet name="modReestr" sheetId="433" state="veryHidden" r:id="rId18"/>
    <sheet name="modfrmReestr" sheetId="553" state="veryHidden" r:id="rId19"/>
    <sheet name="modInstruction" sheetId="509" state="veryHidden" r:id="rId20"/>
    <sheet name="modUpdTemplMain" sheetId="510" state="veryHidden" r:id="rId21"/>
    <sheet name="modfrmCheckUpdates" sheetId="511" state="veryHidden" r:id="rId22"/>
    <sheet name="modfrmRegion" sheetId="520" state="veryHidden" r:id="rId23"/>
    <sheet name="REESTR_MO" sheetId="499" state="veryHidden" r:id="rId24"/>
    <sheet name="REESTR_ORG" sheetId="390" state="veryHidden" r:id="rId25"/>
    <sheet name="REESTR_IP" sheetId="538" state="veryHidden" r:id="rId26"/>
    <sheet name="REESTR_IP_2019" sheetId="556" state="veryHidden" r:id="rId27"/>
    <sheet name="REESTR_TER" sheetId="554" state="veryHidden" r:id="rId28"/>
    <sheet name="REESTR_CNCSN" sheetId="555" state="veryHidden" r:id="rId29"/>
    <sheet name="REESTR_OBJECT" sheetId="540" state="veryHidden" r:id="rId30"/>
    <sheet name="REESTR_STOP_REASON" sheetId="543" state="veryHidden" r:id="rId31"/>
    <sheet name="modClassifierValidate" sheetId="400" state="veryHidden" r:id="rId32"/>
    <sheet name="modCheckCyan" sheetId="541" state="veryHidden" r:id="rId33"/>
    <sheet name="modHyp" sheetId="542" state="veryHidden" r:id="rId34"/>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6" hidden="1">Проверка!$B$4:$D$4</definedName>
    <definedName name="add_01_1">ИП!$E$153</definedName>
    <definedName name="add_01_2">ИП!$E$830</definedName>
    <definedName name="add_01_3">ИП!$E$837</definedName>
    <definedName name="add_02_1">'Территории ИП'!$E$10</definedName>
    <definedName name="add_com">Комментарии!$E$12</definedName>
    <definedName name="all_year_list">TEHSHEET!$E$2:$E$32</definedName>
    <definedName name="anscount" hidden="1">1</definedName>
    <definedName name="begin_year_list">TEHSHEET!$C$2:$C$2</definedName>
    <definedName name="change_ip">Титульный!$F$54</definedName>
    <definedName name="change_url">Титульный!$F$55</definedName>
    <definedName name="CheckBC_ws_01">ИП!$D$10:$AP$837</definedName>
    <definedName name="chkGetUpdatesValue">Инструкция!$AA$102</definedName>
    <definedName name="chkNoUpdatesValue">Инструкция!$AA$104</definedName>
    <definedName name="code">Инструкция!$B$2</definedName>
    <definedName name="concession">Титульный!$F$35</definedName>
    <definedName name="date_end">Титульный!$F$41</definedName>
    <definedName name="date_start">Титульный!$F$40</definedName>
    <definedName name="decision_date">Титульный!$F$49</definedName>
    <definedName name="decision_name">Титульный!$F$46</definedName>
    <definedName name="decision_nmbr">Титульный!$F$48</definedName>
    <definedName name="decision_type">Титульный!$F$47</definedName>
    <definedName name="decision_url">Титульный!$F$50</definedName>
    <definedName name="decision_url_actual">Титульный!$F$51</definedName>
    <definedName name="et_com">et_union!$18:$18</definedName>
    <definedName name="et_ListComm">et_union!$2:$2</definedName>
    <definedName name="et_mr_list">et_union!$E$20</definedName>
    <definedName name="et_ws_01_ifin">et_union!$14:$14</definedName>
    <definedName name="et_ws_01_ifin_lock">et_union!$16:$16</definedName>
    <definedName name="et_ws_01_m">et_union!$4:$8</definedName>
    <definedName name="et_ws_01_m_lock">et_union!$28:$32</definedName>
    <definedName name="et_ws_01_obj">et_union!$10:$12</definedName>
    <definedName name="et_ws_01_obj_lock">et_union!$34:$36</definedName>
    <definedName name="et_ws_02_1">et_union!$20:$20</definedName>
    <definedName name="fil_name">Титульный!$F$19</definedName>
    <definedName name="FirstLine">Инструкция!$A$6</definedName>
    <definedName name="flag_ip">Титульный!$H$13</definedName>
    <definedName name="god">Титульный!$F$9</definedName>
    <definedName name="group_list">TEHSHEET!$I$2:$I$7</definedName>
    <definedName name="inn">Титульный!$F$17</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Инструкция!$70:$82</definedName>
    <definedName name="Instr_7">Инструкция!$83:$99</definedName>
    <definedName name="Instr_8">Инструкция!$100:$114</definedName>
    <definedName name="instr_hyp1">Инструкция!$K$58</definedName>
    <definedName name="instr_hyp5">Инструкция!$K$84</definedName>
    <definedName name="ip_cost">Титульный!$J$13</definedName>
    <definedName name="ip_list">TEHSHEET!$B$2:$B$2</definedName>
    <definedName name="ip_name">Титульный!$F$13</definedName>
    <definedName name="ist_fin_list">TEHSHEET!$H$2:$H$13</definedName>
    <definedName name="IstFin_Range">ИП!$E$10:$F$26</definedName>
    <definedName name="kpp">Титульный!$F$18</definedName>
    <definedName name="LIST_MR_MO_OKTMO">REESTR_MO!$A$1:$D$320</definedName>
    <definedName name="logical">TEHSHEET!$G$2:$G$3</definedName>
    <definedName name="mo_col_02">'Территории ИП'!$F$1</definedName>
    <definedName name="MO_LIST_10">REESTR_MO!$B$75</definedName>
    <definedName name="MO_LIST_11">REESTR_MO!$B$76</definedName>
    <definedName name="MO_LIST_12">REESTR_MO!$B$77</definedName>
    <definedName name="MO_LIST_13">REESTR_MO!$B$78</definedName>
    <definedName name="MO_LIST_14">REESTR_MO!$B$79</definedName>
    <definedName name="MO_LIST_15">REESTR_MO!$B$80</definedName>
    <definedName name="MO_LIST_16">REESTR_MO!$B$81</definedName>
    <definedName name="MO_LIST_17">REESTR_MO!$B$82</definedName>
    <definedName name="MO_LIST_18">REESTR_MO!$B$83</definedName>
    <definedName name="MO_LIST_19">REESTR_MO!$B$84</definedName>
    <definedName name="MO_LIST_2">REESTR_MO!$B$2:$B$12</definedName>
    <definedName name="MO_LIST_20">REESTR_MO!$B$85</definedName>
    <definedName name="MO_LIST_21">REESTR_MO!$B$86:$B$93</definedName>
    <definedName name="MO_LIST_22">REESTR_MO!$B$94</definedName>
    <definedName name="MO_LIST_23">REESTR_MO!$B$95:$B$98</definedName>
    <definedName name="MO_LIST_24">REESTR_MO!$B$99:$B$111</definedName>
    <definedName name="MO_LIST_25">REESTR_MO!$B$112:$B$123</definedName>
    <definedName name="MO_LIST_26">REESTR_MO!$B$124:$B$135</definedName>
    <definedName name="MO_LIST_27">REESTR_MO!$B$136:$B$145</definedName>
    <definedName name="MO_LIST_28">REESTR_MO!$B$146:$B$160</definedName>
    <definedName name="MO_LIST_29">REESTR_MO!$B$161:$B$164</definedName>
    <definedName name="MO_LIST_3">REESTR_MO!$B$13:$B$25</definedName>
    <definedName name="MO_LIST_30">REESTR_MO!$B$165:$B$180</definedName>
    <definedName name="MO_LIST_31">REESTR_MO!$B$181:$B$190</definedName>
    <definedName name="MO_LIST_32">REESTR_MO!$B$191:$B$196</definedName>
    <definedName name="MO_LIST_33">REESTR_MO!$B$197:$B$207</definedName>
    <definedName name="MO_LIST_34">REESTR_MO!$B$208:$B$213</definedName>
    <definedName name="MO_LIST_35">REESTR_MO!$B$214:$B$227</definedName>
    <definedName name="MO_LIST_36">REESTR_MO!$B$228:$B$233</definedName>
    <definedName name="MO_LIST_37">REESTR_MO!$B$234</definedName>
    <definedName name="MO_LIST_38">REESTR_MO!$B$235:$B$242</definedName>
    <definedName name="MO_LIST_39">REESTR_MO!$B$243:$B$259</definedName>
    <definedName name="MO_LIST_4">REESTR_MO!$B$26:$B$35</definedName>
    <definedName name="MO_LIST_40">REESTR_MO!$B$260:$B$274</definedName>
    <definedName name="MO_LIST_41">REESTR_MO!$B$275:$B$285</definedName>
    <definedName name="MO_LIST_42">REESTR_MO!$B$286:$B$297</definedName>
    <definedName name="MO_LIST_43">REESTR_MO!$B$298:$B$307</definedName>
    <definedName name="MO_LIST_44">REESTR_MO!$B$308:$B$320</definedName>
    <definedName name="MO_LIST_5">REESTR_MO!$B$36:$B$47</definedName>
    <definedName name="MO_LIST_6">REESTR_MO!$B$48:$B$61</definedName>
    <definedName name="MO_LIST_7">REESTR_MO!$B$62:$B$72</definedName>
    <definedName name="MO_LIST_8">REESTR_MO!$B$73</definedName>
    <definedName name="MO_LIST_9">REESTR_MO!$B$74</definedName>
    <definedName name="MONTH">TEHSHEET!$F$2:$F$13</definedName>
    <definedName name="month_list">TEHSHEET!$F$2:$F$13</definedName>
    <definedName name="mr_col_02">'Территории ИП'!$E$1</definedName>
    <definedName name="MR_LIST">REESTR_MO!$E$2:$E$44</definedName>
    <definedName name="nds">Титульный!$F$24</definedName>
    <definedName name="nvv">Титульный!$F$37</definedName>
    <definedName name="nvv_cost">ИП!$AQ$4</definedName>
    <definedName name="oktmo_col_02">'Территории ИП'!$G$1</definedName>
    <definedName name="OKTMO_TYPE_LIST">REESTR_MO!$C$2:$D$321</definedName>
    <definedName name="org">Титульный!$F$16</definedName>
    <definedName name="Org_Address">Титульный!$F$63:$F$64</definedName>
    <definedName name="org_form">Титульный!$F$21</definedName>
    <definedName name="Org_otv_lico">Титульный!$F$66:$F$69</definedName>
    <definedName name="pDel_Comm">Комментарии!$C$8:$C$12</definedName>
    <definedName name="period">Титульный!$F$43</definedName>
    <definedName name="plan_version">Титульный!$H$7</definedName>
    <definedName name="podgroup_1_list">TEHSHEET!$J$2:$J$5</definedName>
    <definedName name="podgroup_3_list">TEHSHEET!$K$2:$K$3</definedName>
    <definedName name="podgroup_5_list">TEHSHEET!$L$2:$L$3</definedName>
    <definedName name="quality">Титульный!$F$33</definedName>
    <definedName name="REESTR_IP_RANGE">REESTR_IP!$A$2:$Q$15</definedName>
    <definedName name="REESTR_IP_STOP_REASON">REESTR_STOP_REASON!$A$2:$D$3</definedName>
    <definedName name="REESTR_MR_MO_OKTMO_RANGE">'Территории ИП'!$D$9:$H$9</definedName>
    <definedName name="REESTR_OBJECT_RANGE">REESTR_OBJECT!$A$2:$W$9</definedName>
    <definedName name="REGION">TEHSHEET!$A$2:$A$87</definedName>
    <definedName name="region_name">Титульный!$F$7</definedName>
    <definedName name="rst_org_id_ip">Титульный!$I$13</definedName>
    <definedName name="rst_org_id_org">Титульный!$I$16</definedName>
    <definedName name="SAPBEXrevision" hidden="1">1</definedName>
    <definedName name="SAPBEXsysID" hidden="1">"BW2"</definedName>
    <definedName name="SAPBEXwbID" hidden="1">"479GSPMTNK9HM4ZSIVE5K2SH6"</definedName>
    <definedName name="spr_ip_end_list">TEHSHEET!$N$2:$N$3</definedName>
    <definedName name="spr_ip_type_list">TEHSHEET!$O$2:$O$4</definedName>
    <definedName name="spr_ip_type_list_change">TEHSHEET!$P$2:$Q$9</definedName>
    <definedName name="spr_ks">TEHSHEET!$S$2:$S$3</definedName>
    <definedName name="spr_pok_kach">TEHSHEET!$M$2:$M$4</definedName>
    <definedName name="spr_type">TEHSHEET!$U$2:$U$4</definedName>
    <definedName name="spr_type_report">TEHSHEET!$R$2:$R$3</definedName>
    <definedName name="status_ip">Титульный!$F$31</definedName>
    <definedName name="stop_description">Титульный!$F$59</definedName>
    <definedName name="stop_reason">Титульный!$F$58</definedName>
    <definedName name="stop_url">Титульный!$F$60</definedName>
    <definedName name="type_template">Титульный!$F$11</definedName>
    <definedName name="UpdStatus">Инструкция!$AA$1</definedName>
    <definedName name="vdet">Титульный!$F$22</definedName>
    <definedName name="version">Инструкция!$B$3</definedName>
    <definedName name="ws_01_at_length_cncsn">ИП!$AJ:$AO</definedName>
    <definedName name="ws_01_at_length_event">ИП!$H:$M</definedName>
    <definedName name="ws_01_at_length_object">ИП!$R:$AD</definedName>
    <definedName name="ws_01_col_0_d">ИП!$AY$1</definedName>
    <definedName name="ws_01_col_0_p">ИП!$AW$1</definedName>
    <definedName name="ws_01_col_0_up">ИП!$AX$1</definedName>
    <definedName name="ws_01_col_1_d">ИП!$BB$1</definedName>
    <definedName name="ws_01_col_1_p">ИП!$AZ$1</definedName>
    <definedName name="ws_01_col_1_up">ИП!$BA$1</definedName>
    <definedName name="ws_01_col_2_d">ИП!$BE$1</definedName>
    <definedName name="ws_01_col_2_p">ИП!$BC$1</definedName>
    <definedName name="ws_01_col_2_up">ИП!$BD$1</definedName>
    <definedName name="ws_01_col_3_d">ИП!$BH$1</definedName>
    <definedName name="ws_01_col_3_p">ИП!$BF$1</definedName>
    <definedName name="ws_01_col_3_up">ИП!$BG$1</definedName>
    <definedName name="ws_01_col_4_d">ИП!$BK$1</definedName>
    <definedName name="ws_01_col_4_p">ИП!$BI$1</definedName>
    <definedName name="ws_01_col_4_up">ИП!$BJ$1</definedName>
    <definedName name="ws_01_col_add_event">ИП!$E$1</definedName>
    <definedName name="ws_01_col_add_ifin">ИП!$AG$1</definedName>
    <definedName name="ws_01_col_add_obj">ИП!$P$1</definedName>
    <definedName name="ws_01_col_all_d">ИП!$AS$1</definedName>
    <definedName name="ws_01_col_all_p">ИП!$AQ$1</definedName>
    <definedName name="ws_01_col_all_up">ИП!$AR$1</definedName>
    <definedName name="ws_01_col_change">ИП!$AP$1</definedName>
    <definedName name="ws_01_col_cncsn">ИП!$AI$1</definedName>
    <definedName name="ws_01_col_cncsn_ok">ИП!$AH$1</definedName>
    <definedName name="ws_01_col_comp_value">ИП!$BS$1</definedName>
    <definedName name="ws_01_col_comp_value_ks">ИП!$BY$1</definedName>
    <definedName name="ws_01_col_del_event">ИП!$C$1</definedName>
    <definedName name="ws_01_col_del_ifin">ИП!$AE$1</definedName>
    <definedName name="ws_01_col_del_obj">ИП!$N$1</definedName>
    <definedName name="ws_01_col_last_d">ИП!$BN$1</definedName>
    <definedName name="ws_01_col_last_p">ИП!$BL$1</definedName>
    <definedName name="ws_01_col_last_p_copy">ИП!$BZ$1</definedName>
    <definedName name="ws_01_col_last_up">ИП!$BM$1</definedName>
    <definedName name="ws_01_col_nvv">ИП!$AV$1</definedName>
    <definedName name="ws_01_col_obj_1">ИП!$BO$1</definedName>
    <definedName name="ws_01_col_obj_lgl_id">ИП!$BP$1</definedName>
    <definedName name="ws_01_col_obj_name">ИП!$Q$1</definedName>
    <definedName name="ws_01_col_oktmo">ИП!$H$1</definedName>
    <definedName name="ws_01_col_past">ИП!$AT$1</definedName>
    <definedName name="ws_01_col_past_fact">ИП!$AU$1</definedName>
    <definedName name="ws_01_fill">ИП!$E$2</definedName>
    <definedName name="ws_01_group_column">ИП!$E$49:$E$837</definedName>
    <definedName name="ws_01_planyear_column">ИП!$L$49:$L$837</definedName>
    <definedName name="ws_01_row_all_01">ИП!$A$49</definedName>
    <definedName name="ws_01_row_all_02">ИП!$A$158</definedName>
    <definedName name="ws_01_row_all_03">ИП!$A$835</definedName>
    <definedName name="ws_01_row_all_cncsn">ИП!$27:$44</definedName>
    <definedName name="ws_01_row_all_ip">ИП!$9:$26</definedName>
    <definedName name="ws_01_row_end">ИП!$A$837</definedName>
    <definedName name="ws_01_row_start">ИП!$A$45</definedName>
    <definedName name="ws_02_col_search_data">'Территории ИП'!$J$1</definedName>
    <definedName name="ws_02_col_ter_del">'Территории ИП'!$C$1</definedName>
    <definedName name="ws_02_fill_flag">'Территории ИП'!$C$7</definedName>
    <definedName name="year_list">TEHSHEET!$D$2:$D$18</definedName>
  </definedNames>
  <calcPr calcId="162913"/>
</workbook>
</file>

<file path=xl/calcChain.xml><?xml version="1.0" encoding="utf-8"?>
<calcChain xmlns="http://schemas.openxmlformats.org/spreadsheetml/2006/main">
  <c r="BC163" i="522" l="1"/>
  <c r="BC827" i="522" l="1"/>
  <c r="BE827" i="522" s="1"/>
  <c r="AZ821" i="522"/>
  <c r="BB821" i="522" s="1"/>
  <c r="AW815" i="522"/>
  <c r="AY815" i="522" s="1"/>
  <c r="AW809" i="522"/>
  <c r="AQ809" i="522" s="1"/>
  <c r="AW803" i="522"/>
  <c r="AW797" i="522"/>
  <c r="BC791" i="522"/>
  <c r="BC785" i="522"/>
  <c r="BC779" i="522"/>
  <c r="BE779" i="522" s="1"/>
  <c r="AZ773" i="522"/>
  <c r="AW771" i="522"/>
  <c r="AQ771" i="522" s="1"/>
  <c r="AZ765" i="522"/>
  <c r="BB765" i="522" s="1"/>
  <c r="AW763" i="522"/>
  <c r="AQ763" i="522" s="1"/>
  <c r="AZ757" i="522"/>
  <c r="AW757" i="522"/>
  <c r="BC751" i="522"/>
  <c r="AQ751" i="522" s="1"/>
  <c r="AZ751" i="522"/>
  <c r="BB751" i="522" s="1"/>
  <c r="BC745" i="522"/>
  <c r="AZ745" i="522"/>
  <c r="BC739" i="522"/>
  <c r="BE739" i="522" s="1"/>
  <c r="AZ739" i="522"/>
  <c r="BB739" i="522" s="1"/>
  <c r="AZ733" i="522"/>
  <c r="AQ733" i="522" s="1"/>
  <c r="BC727" i="522"/>
  <c r="BE727" i="522" s="1"/>
  <c r="AZ721" i="522"/>
  <c r="AQ721" i="522" s="1"/>
  <c r="AW715" i="522"/>
  <c r="AQ715" i="522" s="1"/>
  <c r="AS715" i="522" s="1"/>
  <c r="BC709" i="522"/>
  <c r="BE709" i="522" s="1"/>
  <c r="BC703" i="522"/>
  <c r="AZ703" i="522"/>
  <c r="BB703" i="522" s="1"/>
  <c r="A1280" i="541"/>
  <c r="BY827" i="522"/>
  <c r="BS827" i="522"/>
  <c r="BN827" i="522"/>
  <c r="BK827" i="522"/>
  <c r="BH827" i="522"/>
  <c r="BB827" i="522"/>
  <c r="AY827" i="522"/>
  <c r="AR827" i="522"/>
  <c r="A1279" i="541"/>
  <c r="BY703" i="522"/>
  <c r="BS703" i="522"/>
  <c r="BN703" i="522"/>
  <c r="BK703" i="522"/>
  <c r="BH703" i="522"/>
  <c r="BE703" i="522"/>
  <c r="AY703" i="522"/>
  <c r="AR703" i="522"/>
  <c r="A1278" i="541"/>
  <c r="BY709" i="522"/>
  <c r="BS709" i="522"/>
  <c r="BN709" i="522"/>
  <c r="BK709" i="522"/>
  <c r="BH709" i="522"/>
  <c r="BB709" i="522"/>
  <c r="AY709" i="522"/>
  <c r="AR709" i="522"/>
  <c r="A1277" i="541"/>
  <c r="BY715" i="522"/>
  <c r="BS715" i="522"/>
  <c r="BN715" i="522"/>
  <c r="BK715" i="522"/>
  <c r="BH715" i="522"/>
  <c r="BE715" i="522"/>
  <c r="BB715" i="522"/>
  <c r="AY715" i="522"/>
  <c r="AR715" i="522"/>
  <c r="A1276" i="541"/>
  <c r="BY721" i="522"/>
  <c r="BS721" i="522"/>
  <c r="BN721" i="522"/>
  <c r="BK721" i="522"/>
  <c r="BH721" i="522"/>
  <c r="BE721" i="522"/>
  <c r="BB721" i="522"/>
  <c r="AY721" i="522"/>
  <c r="AR721" i="522"/>
  <c r="A1275" i="541"/>
  <c r="BY727" i="522"/>
  <c r="BS727" i="522"/>
  <c r="BN727" i="522"/>
  <c r="BK727" i="522"/>
  <c r="BH727" i="522"/>
  <c r="BB727" i="522"/>
  <c r="AY727" i="522"/>
  <c r="AR727" i="522"/>
  <c r="AQ727" i="522"/>
  <c r="A1274" i="541"/>
  <c r="BY733" i="522"/>
  <c r="BS733" i="522"/>
  <c r="BN733" i="522"/>
  <c r="BK733" i="522"/>
  <c r="BH733" i="522"/>
  <c r="BE733" i="522"/>
  <c r="BB733" i="522"/>
  <c r="AY733" i="522"/>
  <c r="AR733" i="522"/>
  <c r="A1273" i="541"/>
  <c r="BY739" i="522"/>
  <c r="BS739" i="522"/>
  <c r="BN739" i="522"/>
  <c r="BK739" i="522"/>
  <c r="BH739" i="522"/>
  <c r="AY739" i="522"/>
  <c r="AR739" i="522"/>
  <c r="AQ739" i="522"/>
  <c r="A1272" i="541"/>
  <c r="BY745" i="522"/>
  <c r="BS745" i="522"/>
  <c r="BN745" i="522"/>
  <c r="BK745" i="522"/>
  <c r="BH745" i="522"/>
  <c r="BE745" i="522"/>
  <c r="BB745" i="522"/>
  <c r="AY745" i="522"/>
  <c r="AR745" i="522"/>
  <c r="AQ745" i="522"/>
  <c r="A1271" i="541"/>
  <c r="BY751" i="522"/>
  <c r="BS751" i="522"/>
  <c r="BN751" i="522"/>
  <c r="BK751" i="522"/>
  <c r="BH751" i="522"/>
  <c r="BE751" i="522"/>
  <c r="AY751" i="522"/>
  <c r="AR751" i="522"/>
  <c r="A1270" i="541"/>
  <c r="BY765" i="522"/>
  <c r="BS765" i="522"/>
  <c r="BN765" i="522"/>
  <c r="BK765" i="522"/>
  <c r="BH765" i="522"/>
  <c r="BE765" i="522"/>
  <c r="AY765" i="522"/>
  <c r="AR765" i="522"/>
  <c r="AS765" i="522" s="1"/>
  <c r="AQ765" i="522"/>
  <c r="A1269" i="541"/>
  <c r="BY764" i="522"/>
  <c r="BS764" i="522"/>
  <c r="BN764" i="522"/>
  <c r="BK764" i="522"/>
  <c r="BH764" i="522"/>
  <c r="BE764" i="522"/>
  <c r="BB764" i="522"/>
  <c r="AY764" i="522"/>
  <c r="AR764" i="522"/>
  <c r="AQ764" i="522"/>
  <c r="A1268" i="541"/>
  <c r="BY773" i="522"/>
  <c r="BS773" i="522"/>
  <c r="BN773" i="522"/>
  <c r="BK773" i="522"/>
  <c r="BH773" i="522"/>
  <c r="BE773" i="522"/>
  <c r="BB773" i="522"/>
  <c r="AY773" i="522"/>
  <c r="AR773" i="522"/>
  <c r="AQ773" i="522"/>
  <c r="AS773" i="522" s="1"/>
  <c r="A1267" i="541"/>
  <c r="BY772" i="522"/>
  <c r="BS772" i="522"/>
  <c r="BN772" i="522"/>
  <c r="BK772" i="522"/>
  <c r="BH772" i="522"/>
  <c r="BE772" i="522"/>
  <c r="BB772" i="522"/>
  <c r="AY772" i="522"/>
  <c r="AR772" i="522"/>
  <c r="AQ772" i="522"/>
  <c r="A1265" i="541"/>
  <c r="A1266" i="541"/>
  <c r="A1258" i="541"/>
  <c r="A1259" i="541"/>
  <c r="A1260" i="541"/>
  <c r="A1261" i="541"/>
  <c r="A1262" i="541"/>
  <c r="A1263" i="541"/>
  <c r="A1264" i="541"/>
  <c r="BY826" i="522"/>
  <c r="BS826" i="522"/>
  <c r="BN826" i="522"/>
  <c r="BK826" i="522"/>
  <c r="BH826" i="522"/>
  <c r="BE826" i="522"/>
  <c r="BB826" i="522"/>
  <c r="AY826" i="522"/>
  <c r="AR826" i="522"/>
  <c r="AQ826" i="522"/>
  <c r="A1257" i="541"/>
  <c r="BY757" i="522"/>
  <c r="BS757" i="522"/>
  <c r="BN757" i="522"/>
  <c r="BK757" i="522"/>
  <c r="BH757" i="522"/>
  <c r="BE757" i="522"/>
  <c r="BB757" i="522"/>
  <c r="AY757" i="522"/>
  <c r="AR757" i="522"/>
  <c r="AQ757" i="522"/>
  <c r="A1256" i="541"/>
  <c r="BY763" i="522"/>
  <c r="BS763" i="522"/>
  <c r="BN763" i="522"/>
  <c r="BK763" i="522"/>
  <c r="BH763" i="522"/>
  <c r="BE763" i="522"/>
  <c r="BB763" i="522"/>
  <c r="AR763" i="522"/>
  <c r="A1255" i="541"/>
  <c r="BY771" i="522"/>
  <c r="BS771" i="522"/>
  <c r="BN771" i="522"/>
  <c r="BK771" i="522"/>
  <c r="BH771" i="522"/>
  <c r="BE771" i="522"/>
  <c r="BB771" i="522"/>
  <c r="AY771" i="522"/>
  <c r="AR771" i="522"/>
  <c r="A1254" i="541"/>
  <c r="BY779" i="522"/>
  <c r="BS779" i="522"/>
  <c r="BN779" i="522"/>
  <c r="BK779" i="522"/>
  <c r="BH779" i="522"/>
  <c r="BB779" i="522"/>
  <c r="AY779" i="522"/>
  <c r="AR779" i="522"/>
  <c r="AQ779" i="522"/>
  <c r="A1253" i="541"/>
  <c r="BY785" i="522"/>
  <c r="BS785" i="522"/>
  <c r="BN785" i="522"/>
  <c r="BK785" i="522"/>
  <c r="BH785" i="522"/>
  <c r="BE785" i="522"/>
  <c r="BB785" i="522"/>
  <c r="AY785" i="522"/>
  <c r="AR785" i="522"/>
  <c r="AQ785" i="522"/>
  <c r="A1252" i="541"/>
  <c r="BY791" i="522"/>
  <c r="BS791" i="522"/>
  <c r="BN791" i="522"/>
  <c r="BK791" i="522"/>
  <c r="BH791" i="522"/>
  <c r="BE791" i="522"/>
  <c r="BB791" i="522"/>
  <c r="AY791" i="522"/>
  <c r="AR791" i="522"/>
  <c r="AQ791" i="522"/>
  <c r="A1251" i="541"/>
  <c r="BY797" i="522"/>
  <c r="BS797" i="522"/>
  <c r="BN797" i="522"/>
  <c r="BK797" i="522"/>
  <c r="BH797" i="522"/>
  <c r="BE797" i="522"/>
  <c r="BB797" i="522"/>
  <c r="AY797" i="522"/>
  <c r="AR797" i="522"/>
  <c r="AQ797" i="522"/>
  <c r="A1250" i="541"/>
  <c r="BY803" i="522"/>
  <c r="BS803" i="522"/>
  <c r="BN803" i="522"/>
  <c r="BK803" i="522"/>
  <c r="BH803" i="522"/>
  <c r="BE803" i="522"/>
  <c r="BB803" i="522"/>
  <c r="AY803" i="522"/>
  <c r="AR803" i="522"/>
  <c r="AQ803" i="522"/>
  <c r="A1249" i="541"/>
  <c r="BY809" i="522"/>
  <c r="BS809" i="522"/>
  <c r="BN809" i="522"/>
  <c r="BK809" i="522"/>
  <c r="BH809" i="522"/>
  <c r="BE809" i="522"/>
  <c r="BB809" i="522"/>
  <c r="AY809" i="522"/>
  <c r="AR809" i="522"/>
  <c r="A1248" i="541"/>
  <c r="BY815" i="522"/>
  <c r="BS815" i="522"/>
  <c r="BN815" i="522"/>
  <c r="BK815" i="522"/>
  <c r="BH815" i="522"/>
  <c r="BE815" i="522"/>
  <c r="BB815" i="522"/>
  <c r="AR815" i="522"/>
  <c r="AQ815" i="522"/>
  <c r="A1247" i="541"/>
  <c r="BY821" i="522"/>
  <c r="BS821" i="522"/>
  <c r="BN821" i="522"/>
  <c r="BK821" i="522"/>
  <c r="BH821" i="522"/>
  <c r="BE821" i="522"/>
  <c r="AY821" i="522"/>
  <c r="AR821" i="522"/>
  <c r="AQ821" i="522"/>
  <c r="AS821" i="522" s="1"/>
  <c r="A1245" i="541"/>
  <c r="A1246" i="541"/>
  <c r="A1238" i="541"/>
  <c r="A1239" i="541"/>
  <c r="A1240" i="541"/>
  <c r="A1241" i="541"/>
  <c r="A1242" i="541"/>
  <c r="A1243" i="541"/>
  <c r="A1244" i="541"/>
  <c r="BY820" i="522"/>
  <c r="BS820" i="522"/>
  <c r="BN820" i="522"/>
  <c r="BK820" i="522"/>
  <c r="BH820" i="522"/>
  <c r="BE820" i="522"/>
  <c r="BB820" i="522"/>
  <c r="AY820" i="522"/>
  <c r="AR820" i="522"/>
  <c r="AQ820" i="522"/>
  <c r="AS820" i="522" s="1"/>
  <c r="A1236" i="541"/>
  <c r="A1237" i="541"/>
  <c r="A1229" i="541"/>
  <c r="A1230" i="541"/>
  <c r="A1231" i="541"/>
  <c r="A1232" i="541"/>
  <c r="A1233" i="541"/>
  <c r="A1234" i="541"/>
  <c r="A1235" i="541"/>
  <c r="BY814" i="522"/>
  <c r="BS814" i="522"/>
  <c r="BN814" i="522"/>
  <c r="BK814" i="522"/>
  <c r="BH814" i="522"/>
  <c r="BE814" i="522"/>
  <c r="BB814" i="522"/>
  <c r="AY814" i="522"/>
  <c r="AR814" i="522"/>
  <c r="AS814" i="522" s="1"/>
  <c r="AQ814" i="522"/>
  <c r="A1227" i="541"/>
  <c r="A1228" i="541"/>
  <c r="A1220" i="541"/>
  <c r="A1221" i="541"/>
  <c r="A1222" i="541"/>
  <c r="A1223" i="541"/>
  <c r="A1224" i="541"/>
  <c r="A1225" i="541"/>
  <c r="A1226" i="541"/>
  <c r="BY808" i="522"/>
  <c r="BS808" i="522"/>
  <c r="BN808" i="522"/>
  <c r="BK808" i="522"/>
  <c r="BH808" i="522"/>
  <c r="BE808" i="522"/>
  <c r="BB808" i="522"/>
  <c r="AY808" i="522"/>
  <c r="AR808" i="522"/>
  <c r="AQ808" i="522"/>
  <c r="A1218" i="541"/>
  <c r="A1219" i="541"/>
  <c r="A1211" i="541"/>
  <c r="A1212" i="541"/>
  <c r="A1213" i="541"/>
  <c r="A1214" i="541"/>
  <c r="A1215" i="541"/>
  <c r="A1216" i="541"/>
  <c r="A1217" i="541"/>
  <c r="BY802" i="522"/>
  <c r="BS802" i="522"/>
  <c r="BN802" i="522"/>
  <c r="BK802" i="522"/>
  <c r="BH802" i="522"/>
  <c r="BE802" i="522"/>
  <c r="BB802" i="522"/>
  <c r="AY802" i="522"/>
  <c r="AR802" i="522"/>
  <c r="AQ802" i="522"/>
  <c r="A1209" i="541"/>
  <c r="A1210" i="541"/>
  <c r="A1202" i="541"/>
  <c r="A1203" i="541"/>
  <c r="A1204" i="541"/>
  <c r="A1205" i="541"/>
  <c r="A1206" i="541"/>
  <c r="A1207" i="541"/>
  <c r="A1208" i="541"/>
  <c r="BY796" i="522"/>
  <c r="BS796" i="522"/>
  <c r="BN796" i="522"/>
  <c r="BK796" i="522"/>
  <c r="BH796" i="522"/>
  <c r="BE796" i="522"/>
  <c r="BB796" i="522"/>
  <c r="AY796" i="522"/>
  <c r="AR796" i="522"/>
  <c r="AQ796" i="522"/>
  <c r="A1200" i="541"/>
  <c r="A1201" i="541"/>
  <c r="A1193" i="541"/>
  <c r="A1194" i="541"/>
  <c r="A1195" i="541"/>
  <c r="A1196" i="541"/>
  <c r="A1197" i="541"/>
  <c r="A1198" i="541"/>
  <c r="A1199" i="541"/>
  <c r="BY790" i="522"/>
  <c r="BS790" i="522"/>
  <c r="BN790" i="522"/>
  <c r="BK790" i="522"/>
  <c r="BH790" i="522"/>
  <c r="BE790" i="522"/>
  <c r="BB790" i="522"/>
  <c r="AY790" i="522"/>
  <c r="AR790" i="522"/>
  <c r="AQ790" i="522"/>
  <c r="A1191" i="541"/>
  <c r="A1192" i="541"/>
  <c r="A1184" i="541"/>
  <c r="A1185" i="541"/>
  <c r="A1186" i="541"/>
  <c r="A1187" i="541"/>
  <c r="A1188" i="541"/>
  <c r="A1189" i="541"/>
  <c r="A1190" i="541"/>
  <c r="BY784" i="522"/>
  <c r="BS784" i="522"/>
  <c r="BN784" i="522"/>
  <c r="BK784" i="522"/>
  <c r="BH784" i="522"/>
  <c r="BE784" i="522"/>
  <c r="BB784" i="522"/>
  <c r="AY784" i="522"/>
  <c r="AR784" i="522"/>
  <c r="AQ784" i="522"/>
  <c r="A1182" i="541"/>
  <c r="A1183" i="541"/>
  <c r="A1175" i="541"/>
  <c r="A1176" i="541"/>
  <c r="A1177" i="541"/>
  <c r="A1178" i="541"/>
  <c r="A1179" i="541"/>
  <c r="A1180" i="541"/>
  <c r="A1181" i="541"/>
  <c r="BY778" i="522"/>
  <c r="BS778" i="522"/>
  <c r="BN778" i="522"/>
  <c r="BK778" i="522"/>
  <c r="BH778" i="522"/>
  <c r="BE778" i="522"/>
  <c r="BB778" i="522"/>
  <c r="AY778" i="522"/>
  <c r="AR778" i="522"/>
  <c r="AQ778" i="522"/>
  <c r="A1173" i="541"/>
  <c r="A1174" i="541"/>
  <c r="A1166" i="541"/>
  <c r="A1167" i="541"/>
  <c r="A1168" i="541"/>
  <c r="A1169" i="541"/>
  <c r="A1170" i="541"/>
  <c r="A1171" i="541"/>
  <c r="A1172" i="541"/>
  <c r="BY770" i="522"/>
  <c r="BS770" i="522"/>
  <c r="BN770" i="522"/>
  <c r="BK770" i="522"/>
  <c r="BH770" i="522"/>
  <c r="BE770" i="522"/>
  <c r="BB770" i="522"/>
  <c r="AY770" i="522"/>
  <c r="AR770" i="522"/>
  <c r="AQ770" i="522"/>
  <c r="A1164" i="541"/>
  <c r="A1165" i="541"/>
  <c r="A1157" i="541"/>
  <c r="A1158" i="541"/>
  <c r="A1159" i="541"/>
  <c r="A1160" i="541"/>
  <c r="A1161" i="541"/>
  <c r="A1162" i="541"/>
  <c r="A1163" i="541"/>
  <c r="BY762" i="522"/>
  <c r="BS762" i="522"/>
  <c r="BN762" i="522"/>
  <c r="BK762" i="522"/>
  <c r="BH762" i="522"/>
  <c r="BE762" i="522"/>
  <c r="BB762" i="522"/>
  <c r="AY762" i="522"/>
  <c r="AR762" i="522"/>
  <c r="AQ762" i="522"/>
  <c r="A1155" i="541"/>
  <c r="A1156" i="541"/>
  <c r="A1148" i="541"/>
  <c r="A1149" i="541"/>
  <c r="A1150" i="541"/>
  <c r="A1151" i="541"/>
  <c r="A1152" i="541"/>
  <c r="A1153" i="541"/>
  <c r="A1154" i="541"/>
  <c r="BY756" i="522"/>
  <c r="BS756" i="522"/>
  <c r="BN756" i="522"/>
  <c r="BK756" i="522"/>
  <c r="BH756" i="522"/>
  <c r="BE756" i="522"/>
  <c r="BB756" i="522"/>
  <c r="AY756" i="522"/>
  <c r="AR756" i="522"/>
  <c r="AQ756" i="522"/>
  <c r="A1146" i="541"/>
  <c r="A1147" i="541"/>
  <c r="A1139" i="541"/>
  <c r="A1140" i="541"/>
  <c r="A1141" i="541"/>
  <c r="A1142" i="541"/>
  <c r="A1143" i="541"/>
  <c r="A1144" i="541"/>
  <c r="A1145" i="541"/>
  <c r="BY750" i="522"/>
  <c r="BS750" i="522"/>
  <c r="BN750" i="522"/>
  <c r="BK750" i="522"/>
  <c r="BH750" i="522"/>
  <c r="BE750" i="522"/>
  <c r="BB750" i="522"/>
  <c r="AY750" i="522"/>
  <c r="AR750" i="522"/>
  <c r="AQ750" i="522"/>
  <c r="A1137" i="541"/>
  <c r="A1138" i="541"/>
  <c r="A1130" i="541"/>
  <c r="A1131" i="541"/>
  <c r="A1132" i="541"/>
  <c r="A1133" i="541"/>
  <c r="A1134" i="541"/>
  <c r="A1135" i="541"/>
  <c r="A1136" i="541"/>
  <c r="BY744" i="522"/>
  <c r="BS744" i="522"/>
  <c r="BN744" i="522"/>
  <c r="BK744" i="522"/>
  <c r="BH744" i="522"/>
  <c r="BE744" i="522"/>
  <c r="BB744" i="522"/>
  <c r="AY744" i="522"/>
  <c r="AR744" i="522"/>
  <c r="AQ744" i="522"/>
  <c r="A1128" i="541"/>
  <c r="A1129" i="541"/>
  <c r="A1121" i="541"/>
  <c r="A1122" i="541"/>
  <c r="A1123" i="541"/>
  <c r="A1124" i="541"/>
  <c r="A1125" i="541"/>
  <c r="A1126" i="541"/>
  <c r="A1127" i="541"/>
  <c r="BY738" i="522"/>
  <c r="BS738" i="522"/>
  <c r="BN738" i="522"/>
  <c r="BK738" i="522"/>
  <c r="BH738" i="522"/>
  <c r="BE738" i="522"/>
  <c r="BB738" i="522"/>
  <c r="AY738" i="522"/>
  <c r="AR738" i="522"/>
  <c r="AQ738" i="522"/>
  <c r="A1119" i="541"/>
  <c r="A1120" i="541"/>
  <c r="A1112" i="541"/>
  <c r="A1113" i="541"/>
  <c r="A1114" i="541"/>
  <c r="A1115" i="541"/>
  <c r="A1116" i="541"/>
  <c r="A1117" i="541"/>
  <c r="A1118" i="541"/>
  <c r="BY732" i="522"/>
  <c r="BS732" i="522"/>
  <c r="BN732" i="522"/>
  <c r="BK732" i="522"/>
  <c r="BH732" i="522"/>
  <c r="BE732" i="522"/>
  <c r="BB732" i="522"/>
  <c r="AY732" i="522"/>
  <c r="AR732" i="522"/>
  <c r="AQ732" i="522"/>
  <c r="AS732" i="522" s="1"/>
  <c r="A1110" i="541"/>
  <c r="A1111" i="541"/>
  <c r="A1103" i="541"/>
  <c r="A1104" i="541"/>
  <c r="A1105" i="541"/>
  <c r="A1106" i="541"/>
  <c r="A1107" i="541"/>
  <c r="A1108" i="541"/>
  <c r="A1109" i="541"/>
  <c r="BY726" i="522"/>
  <c r="BS726" i="522"/>
  <c r="BN726" i="522"/>
  <c r="BK726" i="522"/>
  <c r="BH726" i="522"/>
  <c r="BE726" i="522"/>
  <c r="BB726" i="522"/>
  <c r="AY726" i="522"/>
  <c r="AR726" i="522"/>
  <c r="AQ726" i="522"/>
  <c r="A1101" i="541"/>
  <c r="A1102" i="541"/>
  <c r="A1094" i="541"/>
  <c r="A1095" i="541"/>
  <c r="A1096" i="541"/>
  <c r="A1097" i="541"/>
  <c r="A1098" i="541"/>
  <c r="A1099" i="541"/>
  <c r="A1100" i="541"/>
  <c r="BY720" i="522"/>
  <c r="BS720" i="522"/>
  <c r="BN720" i="522"/>
  <c r="BK720" i="522"/>
  <c r="BH720" i="522"/>
  <c r="BE720" i="522"/>
  <c r="BB720" i="522"/>
  <c r="AY720" i="522"/>
  <c r="AR720" i="522"/>
  <c r="AQ720" i="522"/>
  <c r="A1092" i="541"/>
  <c r="A1093" i="541"/>
  <c r="A1085" i="541"/>
  <c r="A1086" i="541"/>
  <c r="A1087" i="541"/>
  <c r="A1088" i="541"/>
  <c r="A1089" i="541"/>
  <c r="A1090" i="541"/>
  <c r="A1091" i="541"/>
  <c r="BY714" i="522"/>
  <c r="BS714" i="522"/>
  <c r="BN714" i="522"/>
  <c r="BK714" i="522"/>
  <c r="BH714" i="522"/>
  <c r="BE714" i="522"/>
  <c r="BB714" i="522"/>
  <c r="AY714" i="522"/>
  <c r="AR714" i="522"/>
  <c r="AQ714" i="522"/>
  <c r="A1083" i="541"/>
  <c r="A1084" i="541"/>
  <c r="A1076" i="541"/>
  <c r="A1077" i="541"/>
  <c r="A1078" i="541"/>
  <c r="A1079" i="541"/>
  <c r="A1080" i="541"/>
  <c r="A1081" i="541"/>
  <c r="A1082" i="541"/>
  <c r="BY708" i="522"/>
  <c r="BS708" i="522"/>
  <c r="BN708" i="522"/>
  <c r="BK708" i="522"/>
  <c r="BH708" i="522"/>
  <c r="BE708" i="522"/>
  <c r="BB708" i="522"/>
  <c r="AY708" i="522"/>
  <c r="AR708" i="522"/>
  <c r="AS708" i="522" s="1"/>
  <c r="AQ708" i="522"/>
  <c r="A1074" i="541"/>
  <c r="A1075" i="541"/>
  <c r="A1067" i="541"/>
  <c r="A1068" i="541"/>
  <c r="A1069" i="541"/>
  <c r="A1070" i="541"/>
  <c r="A1071" i="541"/>
  <c r="A1072" i="541"/>
  <c r="A1073" i="541"/>
  <c r="BY702" i="522"/>
  <c r="BS702" i="522"/>
  <c r="BN702" i="522"/>
  <c r="BK702" i="522"/>
  <c r="BH702" i="522"/>
  <c r="BE702" i="522"/>
  <c r="BB702" i="522"/>
  <c r="AY702" i="522"/>
  <c r="AR702" i="522"/>
  <c r="AQ702" i="522"/>
  <c r="AS702" i="522" s="1"/>
  <c r="AZ697" i="522"/>
  <c r="BB697" i="522" s="1"/>
  <c r="AW697" i="522"/>
  <c r="AY697" i="522" s="1"/>
  <c r="AW691" i="522"/>
  <c r="AY691" i="522" s="1"/>
  <c r="AZ685" i="522"/>
  <c r="AZ679" i="522"/>
  <c r="BB679" i="522" s="1"/>
  <c r="BC673" i="522"/>
  <c r="BE673" i="522" s="1"/>
  <c r="AZ667" i="522"/>
  <c r="AQ667" i="522" s="1"/>
  <c r="BC661" i="522"/>
  <c r="BE661" i="522" s="1"/>
  <c r="BC655" i="522"/>
  <c r="BE655" i="522" s="1"/>
  <c r="BC649" i="522"/>
  <c r="BC643" i="522"/>
  <c r="BC637" i="522"/>
  <c r="AQ637" i="522" s="1"/>
  <c r="BC631" i="522"/>
  <c r="BE631" i="522" s="1"/>
  <c r="BC625" i="522"/>
  <c r="BE625" i="522" s="1"/>
  <c r="BC619" i="522"/>
  <c r="BE619" i="522" s="1"/>
  <c r="BC613" i="522"/>
  <c r="BC607" i="522"/>
  <c r="AQ607" i="522" s="1"/>
  <c r="BC601" i="522"/>
  <c r="BC595" i="522"/>
  <c r="BC589" i="522"/>
  <c r="BC583" i="522"/>
  <c r="AW583" i="522"/>
  <c r="AY583" i="522" s="1"/>
  <c r="A1066" i="541"/>
  <c r="BY697" i="522"/>
  <c r="BS697" i="522"/>
  <c r="BN697" i="522"/>
  <c r="BK697" i="522"/>
  <c r="BH697" i="522"/>
  <c r="BE697" i="522"/>
  <c r="AR697" i="522"/>
  <c r="A1065" i="541"/>
  <c r="BY691" i="522"/>
  <c r="BS691" i="522"/>
  <c r="BN691" i="522"/>
  <c r="BK691" i="522"/>
  <c r="BH691" i="522"/>
  <c r="BE691" i="522"/>
  <c r="BB691" i="522"/>
  <c r="AR691" i="522"/>
  <c r="AQ691" i="522"/>
  <c r="A1064" i="541"/>
  <c r="BY685" i="522"/>
  <c r="BS685" i="522"/>
  <c r="BN685" i="522"/>
  <c r="BK685" i="522"/>
  <c r="BH685" i="522"/>
  <c r="BE685" i="522"/>
  <c r="BB685" i="522"/>
  <c r="AY685" i="522"/>
  <c r="AR685" i="522"/>
  <c r="AQ685" i="522"/>
  <c r="AS685" i="522" s="1"/>
  <c r="A1063" i="541"/>
  <c r="BY679" i="522"/>
  <c r="BS679" i="522"/>
  <c r="BN679" i="522"/>
  <c r="BK679" i="522"/>
  <c r="BH679" i="522"/>
  <c r="BE679" i="522"/>
  <c r="AY679" i="522"/>
  <c r="AR679" i="522"/>
  <c r="AQ679" i="522"/>
  <c r="AS679" i="522" s="1"/>
  <c r="A1062" i="541"/>
  <c r="BY673" i="522"/>
  <c r="BS673" i="522"/>
  <c r="BN673" i="522"/>
  <c r="BK673" i="522"/>
  <c r="BH673" i="522"/>
  <c r="BB673" i="522"/>
  <c r="AY673" i="522"/>
  <c r="AR673" i="522"/>
  <c r="AQ673" i="522"/>
  <c r="A1061" i="541"/>
  <c r="BY667" i="522"/>
  <c r="BS667" i="522"/>
  <c r="BN667" i="522"/>
  <c r="BK667" i="522"/>
  <c r="BH667" i="522"/>
  <c r="BE667" i="522"/>
  <c r="BB667" i="522"/>
  <c r="AY667" i="522"/>
  <c r="AR667" i="522"/>
  <c r="A1060" i="541"/>
  <c r="BY661" i="522"/>
  <c r="BS661" i="522"/>
  <c r="BN661" i="522"/>
  <c r="BK661" i="522"/>
  <c r="BH661" i="522"/>
  <c r="BB661" i="522"/>
  <c r="AY661" i="522"/>
  <c r="AR661" i="522"/>
  <c r="AQ661" i="522"/>
  <c r="A1059" i="541"/>
  <c r="BY655" i="522"/>
  <c r="BS655" i="522"/>
  <c r="BN655" i="522"/>
  <c r="BK655" i="522"/>
  <c r="BH655" i="522"/>
  <c r="BB655" i="522"/>
  <c r="AY655" i="522"/>
  <c r="AR655" i="522"/>
  <c r="AQ655" i="522"/>
  <c r="A1058" i="541"/>
  <c r="BY649" i="522"/>
  <c r="BS649" i="522"/>
  <c r="BN649" i="522"/>
  <c r="BK649" i="522"/>
  <c r="BH649" i="522"/>
  <c r="BE649" i="522"/>
  <c r="BB649" i="522"/>
  <c r="AY649" i="522"/>
  <c r="AR649" i="522"/>
  <c r="AQ649" i="522"/>
  <c r="A1057" i="541"/>
  <c r="BY643" i="522"/>
  <c r="BS643" i="522"/>
  <c r="BN643" i="522"/>
  <c r="BK643" i="522"/>
  <c r="BH643" i="522"/>
  <c r="BE643" i="522"/>
  <c r="BB643" i="522"/>
  <c r="AY643" i="522"/>
  <c r="AR643" i="522"/>
  <c r="AQ643" i="522"/>
  <c r="A1056" i="541"/>
  <c r="BY637" i="522"/>
  <c r="BS637" i="522"/>
  <c r="BN637" i="522"/>
  <c r="BK637" i="522"/>
  <c r="BH637" i="522"/>
  <c r="BE637" i="522"/>
  <c r="BB637" i="522"/>
  <c r="AY637" i="522"/>
  <c r="AR637" i="522"/>
  <c r="A1055" i="541"/>
  <c r="BY631" i="522"/>
  <c r="BS631" i="522"/>
  <c r="BN631" i="522"/>
  <c r="BK631" i="522"/>
  <c r="BH631" i="522"/>
  <c r="BB631" i="522"/>
  <c r="AY631" i="522"/>
  <c r="AR631" i="522"/>
  <c r="A1054" i="541"/>
  <c r="BY625" i="522"/>
  <c r="BS625" i="522"/>
  <c r="BN625" i="522"/>
  <c r="BK625" i="522"/>
  <c r="BH625" i="522"/>
  <c r="BB625" i="522"/>
  <c r="AY625" i="522"/>
  <c r="AR625" i="522"/>
  <c r="AQ625" i="522"/>
  <c r="A1053" i="541"/>
  <c r="BY619" i="522"/>
  <c r="BS619" i="522"/>
  <c r="BN619" i="522"/>
  <c r="BK619" i="522"/>
  <c r="BH619" i="522"/>
  <c r="BB619" i="522"/>
  <c r="AY619" i="522"/>
  <c r="AR619" i="522"/>
  <c r="A1052" i="541"/>
  <c r="BY613" i="522"/>
  <c r="BS613" i="522"/>
  <c r="BN613" i="522"/>
  <c r="BK613" i="522"/>
  <c r="BH613" i="522"/>
  <c r="BE613" i="522"/>
  <c r="BB613" i="522"/>
  <c r="AY613" i="522"/>
  <c r="AR613" i="522"/>
  <c r="AS613" i="522" s="1"/>
  <c r="AQ613" i="522"/>
  <c r="A1051" i="541"/>
  <c r="BY607" i="522"/>
  <c r="BS607" i="522"/>
  <c r="BN607" i="522"/>
  <c r="BK607" i="522"/>
  <c r="BH607" i="522"/>
  <c r="BE607" i="522"/>
  <c r="BB607" i="522"/>
  <c r="AY607" i="522"/>
  <c r="AR607" i="522"/>
  <c r="A1050" i="541"/>
  <c r="BY601" i="522"/>
  <c r="BS601" i="522"/>
  <c r="BN601" i="522"/>
  <c r="BK601" i="522"/>
  <c r="BH601" i="522"/>
  <c r="BE601" i="522"/>
  <c r="BB601" i="522"/>
  <c r="AY601" i="522"/>
  <c r="AR601" i="522"/>
  <c r="AQ601" i="522"/>
  <c r="A1049" i="541"/>
  <c r="BY595" i="522"/>
  <c r="BS595" i="522"/>
  <c r="BN595" i="522"/>
  <c r="BK595" i="522"/>
  <c r="BH595" i="522"/>
  <c r="BE595" i="522"/>
  <c r="BB595" i="522"/>
  <c r="AY595" i="522"/>
  <c r="AR595" i="522"/>
  <c r="AQ595" i="522"/>
  <c r="A1048" i="541"/>
  <c r="BY589" i="522"/>
  <c r="BS589" i="522"/>
  <c r="BN589" i="522"/>
  <c r="BK589" i="522"/>
  <c r="BH589" i="522"/>
  <c r="BE589" i="522"/>
  <c r="BB589" i="522"/>
  <c r="AY589" i="522"/>
  <c r="AR589" i="522"/>
  <c r="AQ589" i="522"/>
  <c r="A1047" i="541"/>
  <c r="BY583" i="522"/>
  <c r="BS583" i="522"/>
  <c r="BN583" i="522"/>
  <c r="BK583" i="522"/>
  <c r="BH583" i="522"/>
  <c r="BE583" i="522"/>
  <c r="BB583" i="522"/>
  <c r="AR583" i="522"/>
  <c r="AQ583" i="522"/>
  <c r="AS583" i="522" s="1"/>
  <c r="A1045" i="541"/>
  <c r="A1046" i="541"/>
  <c r="A1038" i="541"/>
  <c r="A1039" i="541"/>
  <c r="A1040" i="541"/>
  <c r="A1041" i="541"/>
  <c r="A1042" i="541"/>
  <c r="A1043" i="541"/>
  <c r="A1044" i="541"/>
  <c r="BY696" i="522"/>
  <c r="BS696" i="522"/>
  <c r="BN696" i="522"/>
  <c r="BK696" i="522"/>
  <c r="BH696" i="522"/>
  <c r="BE696" i="522"/>
  <c r="BB696" i="522"/>
  <c r="AY696" i="522"/>
  <c r="AR696" i="522"/>
  <c r="AQ696" i="522"/>
  <c r="AS696" i="522" s="1"/>
  <c r="A1036" i="541"/>
  <c r="A1037" i="541"/>
  <c r="A1029" i="541"/>
  <c r="A1030" i="541"/>
  <c r="A1031" i="541"/>
  <c r="A1032" i="541"/>
  <c r="A1033" i="541"/>
  <c r="A1034" i="541"/>
  <c r="A1035" i="541"/>
  <c r="BY690" i="522"/>
  <c r="BS690" i="522"/>
  <c r="BN690" i="522"/>
  <c r="BK690" i="522"/>
  <c r="BH690" i="522"/>
  <c r="BE690" i="522"/>
  <c r="BB690" i="522"/>
  <c r="AY690" i="522"/>
  <c r="AR690" i="522"/>
  <c r="AQ690" i="522"/>
  <c r="A1027" i="541"/>
  <c r="A1028" i="541"/>
  <c r="A1020" i="541"/>
  <c r="A1021" i="541"/>
  <c r="A1022" i="541"/>
  <c r="A1023" i="541"/>
  <c r="A1024" i="541"/>
  <c r="A1025" i="541"/>
  <c r="A1026" i="541"/>
  <c r="BY684" i="522"/>
  <c r="BS684" i="522"/>
  <c r="BN684" i="522"/>
  <c r="BK684" i="522"/>
  <c r="BH684" i="522"/>
  <c r="BE684" i="522"/>
  <c r="BB684" i="522"/>
  <c r="AY684" i="522"/>
  <c r="AR684" i="522"/>
  <c r="AS684" i="522" s="1"/>
  <c r="AQ684" i="522"/>
  <c r="A1018" i="541"/>
  <c r="A1019" i="541"/>
  <c r="A1011" i="541"/>
  <c r="A1012" i="541"/>
  <c r="A1013" i="541"/>
  <c r="A1014" i="541"/>
  <c r="A1015" i="541"/>
  <c r="A1016" i="541"/>
  <c r="A1017" i="541"/>
  <c r="BY678" i="522"/>
  <c r="BS678" i="522"/>
  <c r="BN678" i="522"/>
  <c r="BK678" i="522"/>
  <c r="BH678" i="522"/>
  <c r="BE678" i="522"/>
  <c r="BB678" i="522"/>
  <c r="AY678" i="522"/>
  <c r="AR678" i="522"/>
  <c r="AS678" i="522" s="1"/>
  <c r="AQ678" i="522"/>
  <c r="A1009" i="541"/>
  <c r="A1010" i="541"/>
  <c r="A1002" i="541"/>
  <c r="A1003" i="541"/>
  <c r="A1004" i="541"/>
  <c r="A1005" i="541"/>
  <c r="A1006" i="541"/>
  <c r="A1007" i="541"/>
  <c r="A1008" i="541"/>
  <c r="BY672" i="522"/>
  <c r="BS672" i="522"/>
  <c r="BN672" i="522"/>
  <c r="BK672" i="522"/>
  <c r="BH672" i="522"/>
  <c r="BE672" i="522"/>
  <c r="BB672" i="522"/>
  <c r="AY672" i="522"/>
  <c r="AR672" i="522"/>
  <c r="AQ672" i="522"/>
  <c r="AS672" i="522" s="1"/>
  <c r="A1000" i="541"/>
  <c r="A1001" i="541"/>
  <c r="A993" i="541"/>
  <c r="A994" i="541"/>
  <c r="A995" i="541"/>
  <c r="A996" i="541"/>
  <c r="A997" i="541"/>
  <c r="A998" i="541"/>
  <c r="A999" i="541"/>
  <c r="BY666" i="522"/>
  <c r="BS666" i="522"/>
  <c r="BN666" i="522"/>
  <c r="BK666" i="522"/>
  <c r="BH666" i="522"/>
  <c r="BE666" i="522"/>
  <c r="BB666" i="522"/>
  <c r="AY666" i="522"/>
  <c r="AR666" i="522"/>
  <c r="AQ666" i="522"/>
  <c r="A991" i="541"/>
  <c r="A992" i="541"/>
  <c r="A984" i="541"/>
  <c r="A985" i="541"/>
  <c r="A986" i="541"/>
  <c r="A987" i="541"/>
  <c r="A988" i="541"/>
  <c r="A989" i="541"/>
  <c r="A990" i="541"/>
  <c r="BY660" i="522"/>
  <c r="BS660" i="522"/>
  <c r="BN660" i="522"/>
  <c r="BK660" i="522"/>
  <c r="BH660" i="522"/>
  <c r="BE660" i="522"/>
  <c r="BB660" i="522"/>
  <c r="AY660" i="522"/>
  <c r="AR660" i="522"/>
  <c r="AQ660" i="522"/>
  <c r="A982" i="541"/>
  <c r="A983" i="541"/>
  <c r="A975" i="541"/>
  <c r="A976" i="541"/>
  <c r="A977" i="541"/>
  <c r="A978" i="541"/>
  <c r="A979" i="541"/>
  <c r="A980" i="541"/>
  <c r="A981" i="541"/>
  <c r="BY654" i="522"/>
  <c r="BS654" i="522"/>
  <c r="BN654" i="522"/>
  <c r="BK654" i="522"/>
  <c r="BH654" i="522"/>
  <c r="BE654" i="522"/>
  <c r="BB654" i="522"/>
  <c r="AY654" i="522"/>
  <c r="AR654" i="522"/>
  <c r="AQ654" i="522"/>
  <c r="A973" i="541"/>
  <c r="A974" i="541"/>
  <c r="A966" i="541"/>
  <c r="A967" i="541"/>
  <c r="A968" i="541"/>
  <c r="A969" i="541"/>
  <c r="A970" i="541"/>
  <c r="A971" i="541"/>
  <c r="A972" i="541"/>
  <c r="BY648" i="522"/>
  <c r="BS648" i="522"/>
  <c r="BN648" i="522"/>
  <c r="BK648" i="522"/>
  <c r="BH648" i="522"/>
  <c r="BE648" i="522"/>
  <c r="BB648" i="522"/>
  <c r="AY648" i="522"/>
  <c r="AR648" i="522"/>
  <c r="AS648" i="522" s="1"/>
  <c r="AQ648" i="522"/>
  <c r="A964" i="541"/>
  <c r="A965" i="541"/>
  <c r="A957" i="541"/>
  <c r="A958" i="541"/>
  <c r="A959" i="541"/>
  <c r="A960" i="541"/>
  <c r="A961" i="541"/>
  <c r="A962" i="541"/>
  <c r="A963" i="541"/>
  <c r="BY642" i="522"/>
  <c r="BS642" i="522"/>
  <c r="BN642" i="522"/>
  <c r="BK642" i="522"/>
  <c r="BH642" i="522"/>
  <c r="BE642" i="522"/>
  <c r="BB642" i="522"/>
  <c r="AY642" i="522"/>
  <c r="AR642" i="522"/>
  <c r="AQ642" i="522"/>
  <c r="A955" i="541"/>
  <c r="A956" i="541"/>
  <c r="A948" i="541"/>
  <c r="A949" i="541"/>
  <c r="A950" i="541"/>
  <c r="A951" i="541"/>
  <c r="A952" i="541"/>
  <c r="A953" i="541"/>
  <c r="A954" i="541"/>
  <c r="BY636" i="522"/>
  <c r="BS636" i="522"/>
  <c r="BN636" i="522"/>
  <c r="BK636" i="522"/>
  <c r="BH636" i="522"/>
  <c r="BE636" i="522"/>
  <c r="BB636" i="522"/>
  <c r="AY636" i="522"/>
  <c r="AR636" i="522"/>
  <c r="AQ636" i="522"/>
  <c r="A946" i="541"/>
  <c r="A947" i="541"/>
  <c r="A939" i="541"/>
  <c r="A940" i="541"/>
  <c r="A941" i="541"/>
  <c r="A942" i="541"/>
  <c r="A943" i="541"/>
  <c r="A944" i="541"/>
  <c r="A945" i="541"/>
  <c r="BY630" i="522"/>
  <c r="BS630" i="522"/>
  <c r="BN630" i="522"/>
  <c r="BK630" i="522"/>
  <c r="BH630" i="522"/>
  <c r="BE630" i="522"/>
  <c r="BB630" i="522"/>
  <c r="AY630" i="522"/>
  <c r="AR630" i="522"/>
  <c r="AQ630" i="522"/>
  <c r="A937" i="541"/>
  <c r="A938" i="541"/>
  <c r="A930" i="541"/>
  <c r="A931" i="541"/>
  <c r="A932" i="541"/>
  <c r="A933" i="541"/>
  <c r="A934" i="541"/>
  <c r="A935" i="541"/>
  <c r="A936" i="541"/>
  <c r="BY624" i="522"/>
  <c r="BS624" i="522"/>
  <c r="BN624" i="522"/>
  <c r="BK624" i="522"/>
  <c r="BH624" i="522"/>
  <c r="BE624" i="522"/>
  <c r="BB624" i="522"/>
  <c r="AY624" i="522"/>
  <c r="AR624" i="522"/>
  <c r="AQ624" i="522"/>
  <c r="AS624" i="522" s="1"/>
  <c r="A928" i="541"/>
  <c r="A929" i="541"/>
  <c r="A921" i="541"/>
  <c r="A922" i="541"/>
  <c r="A923" i="541"/>
  <c r="A924" i="541"/>
  <c r="A925" i="541"/>
  <c r="A926" i="541"/>
  <c r="A927" i="541"/>
  <c r="BY618" i="522"/>
  <c r="BS618" i="522"/>
  <c r="BN618" i="522"/>
  <c r="BK618" i="522"/>
  <c r="BH618" i="522"/>
  <c r="BE618" i="522"/>
  <c r="BB618" i="522"/>
  <c r="AY618" i="522"/>
  <c r="AR618" i="522"/>
  <c r="AQ618" i="522"/>
  <c r="AS618" i="522" s="1"/>
  <c r="A919" i="541"/>
  <c r="A920" i="541"/>
  <c r="A912" i="541"/>
  <c r="A913" i="541"/>
  <c r="A914" i="541"/>
  <c r="A915" i="541"/>
  <c r="A916" i="541"/>
  <c r="A917" i="541"/>
  <c r="A918" i="541"/>
  <c r="BY612" i="522"/>
  <c r="BS612" i="522"/>
  <c r="BN612" i="522"/>
  <c r="BK612" i="522"/>
  <c r="BH612" i="522"/>
  <c r="BE612" i="522"/>
  <c r="BB612" i="522"/>
  <c r="AY612" i="522"/>
  <c r="AR612" i="522"/>
  <c r="AQ612" i="522"/>
  <c r="A910" i="541"/>
  <c r="A911" i="541"/>
  <c r="A903" i="541"/>
  <c r="A904" i="541"/>
  <c r="A905" i="541"/>
  <c r="A906" i="541"/>
  <c r="A907" i="541"/>
  <c r="A908" i="541"/>
  <c r="A909" i="541"/>
  <c r="BY606" i="522"/>
  <c r="BS606" i="522"/>
  <c r="BN606" i="522"/>
  <c r="BK606" i="522"/>
  <c r="BH606" i="522"/>
  <c r="BE606" i="522"/>
  <c r="BB606" i="522"/>
  <c r="AY606" i="522"/>
  <c r="AR606" i="522"/>
  <c r="AS606" i="522" s="1"/>
  <c r="AQ606" i="522"/>
  <c r="A901" i="541"/>
  <c r="A902" i="541"/>
  <c r="A894" i="541"/>
  <c r="A895" i="541"/>
  <c r="A896" i="541"/>
  <c r="A897" i="541"/>
  <c r="A898" i="541"/>
  <c r="A899" i="541"/>
  <c r="A900" i="541"/>
  <c r="BY600" i="522"/>
  <c r="BS600" i="522"/>
  <c r="BN600" i="522"/>
  <c r="BK600" i="522"/>
  <c r="BH600" i="522"/>
  <c r="BE600" i="522"/>
  <c r="BB600" i="522"/>
  <c r="AY600" i="522"/>
  <c r="AR600" i="522"/>
  <c r="AS600" i="522" s="1"/>
  <c r="AQ600" i="522"/>
  <c r="A892" i="541"/>
  <c r="A893" i="541"/>
  <c r="A885" i="541"/>
  <c r="A886" i="541"/>
  <c r="A887" i="541"/>
  <c r="A888" i="541"/>
  <c r="A889" i="541"/>
  <c r="A890" i="541"/>
  <c r="A891" i="541"/>
  <c r="BY594" i="522"/>
  <c r="BS594" i="522"/>
  <c r="BN594" i="522"/>
  <c r="BK594" i="522"/>
  <c r="BH594" i="522"/>
  <c r="BE594" i="522"/>
  <c r="BB594" i="522"/>
  <c r="AY594" i="522"/>
  <c r="AR594" i="522"/>
  <c r="AQ594" i="522"/>
  <c r="AS594" i="522" s="1"/>
  <c r="A883" i="541"/>
  <c r="A884" i="541"/>
  <c r="A876" i="541"/>
  <c r="A877" i="541"/>
  <c r="A878" i="541"/>
  <c r="A879" i="541"/>
  <c r="A880" i="541"/>
  <c r="A881" i="541"/>
  <c r="A882" i="541"/>
  <c r="BY588" i="522"/>
  <c r="BS588" i="522"/>
  <c r="BN588" i="522"/>
  <c r="BK588" i="522"/>
  <c r="BH588" i="522"/>
  <c r="BE588" i="522"/>
  <c r="BB588" i="522"/>
  <c r="AY588" i="522"/>
  <c r="AR588" i="522"/>
  <c r="AQ588" i="522"/>
  <c r="AS588" i="522" s="1"/>
  <c r="A874" i="541"/>
  <c r="A875" i="541"/>
  <c r="A867" i="541"/>
  <c r="A868" i="541"/>
  <c r="A869" i="541"/>
  <c r="A870" i="541"/>
  <c r="A871" i="541"/>
  <c r="A872" i="541"/>
  <c r="A873" i="541"/>
  <c r="BY582" i="522"/>
  <c r="BS582" i="522"/>
  <c r="BN582" i="522"/>
  <c r="BK582" i="522"/>
  <c r="BH582" i="522"/>
  <c r="BE582" i="522"/>
  <c r="BB582" i="522"/>
  <c r="AY582" i="522"/>
  <c r="AR582" i="522"/>
  <c r="AQ582" i="522"/>
  <c r="BC571" i="522"/>
  <c r="AW571" i="522"/>
  <c r="BC565" i="522"/>
  <c r="BE565" i="522" s="1"/>
  <c r="BC559" i="522"/>
  <c r="BC553" i="522"/>
  <c r="AZ547" i="522"/>
  <c r="AQ547" i="522" s="1"/>
  <c r="AW541" i="522"/>
  <c r="AY541" i="522" s="1"/>
  <c r="AZ535" i="522"/>
  <c r="AQ535" i="522" s="1"/>
  <c r="AW529" i="522"/>
  <c r="AW523" i="522"/>
  <c r="AY523" i="522" s="1"/>
  <c r="AW517" i="522"/>
  <c r="AQ517" i="522" s="1"/>
  <c r="AZ511" i="522"/>
  <c r="AZ505" i="522"/>
  <c r="BB505" i="522" s="1"/>
  <c r="AZ499" i="522"/>
  <c r="BB499" i="522" s="1"/>
  <c r="AZ493" i="522"/>
  <c r="BB493" i="522" s="1"/>
  <c r="AZ487" i="522"/>
  <c r="AQ487" i="522" s="1"/>
  <c r="AS487" i="522" s="1"/>
  <c r="AZ481" i="522"/>
  <c r="AZ475" i="522"/>
  <c r="AQ475" i="522" s="1"/>
  <c r="AS475" i="522" s="1"/>
  <c r="AZ469" i="522"/>
  <c r="BB469" i="522" s="1"/>
  <c r="AZ463" i="522"/>
  <c r="A866" i="541"/>
  <c r="BY463" i="522"/>
  <c r="BS463" i="522"/>
  <c r="BN463" i="522"/>
  <c r="BK463" i="522"/>
  <c r="BH463" i="522"/>
  <c r="BE463" i="522"/>
  <c r="BB463" i="522"/>
  <c r="AY463" i="522"/>
  <c r="AR463" i="522"/>
  <c r="AQ463" i="522"/>
  <c r="A865" i="541"/>
  <c r="BY469" i="522"/>
  <c r="BS469" i="522"/>
  <c r="BN469" i="522"/>
  <c r="BK469" i="522"/>
  <c r="BH469" i="522"/>
  <c r="BE469" i="522"/>
  <c r="AY469" i="522"/>
  <c r="AR469" i="522"/>
  <c r="A864" i="541"/>
  <c r="BY475" i="522"/>
  <c r="BS475" i="522"/>
  <c r="BN475" i="522"/>
  <c r="BK475" i="522"/>
  <c r="BH475" i="522"/>
  <c r="BE475" i="522"/>
  <c r="BB475" i="522"/>
  <c r="AY475" i="522"/>
  <c r="AR475" i="522"/>
  <c r="A863" i="541"/>
  <c r="BY481" i="522"/>
  <c r="BS481" i="522"/>
  <c r="BN481" i="522"/>
  <c r="BK481" i="522"/>
  <c r="BH481" i="522"/>
  <c r="BE481" i="522"/>
  <c r="BB481" i="522"/>
  <c r="AY481" i="522"/>
  <c r="AR481" i="522"/>
  <c r="AQ481" i="522"/>
  <c r="AS481" i="522" s="1"/>
  <c r="A862" i="541"/>
  <c r="BY487" i="522"/>
  <c r="BS487" i="522"/>
  <c r="BN487" i="522"/>
  <c r="BK487" i="522"/>
  <c r="BH487" i="522"/>
  <c r="BE487" i="522"/>
  <c r="BB487" i="522"/>
  <c r="AY487" i="522"/>
  <c r="AR487" i="522"/>
  <c r="A861" i="541"/>
  <c r="BY493" i="522"/>
  <c r="BS493" i="522"/>
  <c r="BN493" i="522"/>
  <c r="BK493" i="522"/>
  <c r="BH493" i="522"/>
  <c r="BE493" i="522"/>
  <c r="AY493" i="522"/>
  <c r="AR493" i="522"/>
  <c r="AQ493" i="522"/>
  <c r="A860" i="541"/>
  <c r="BY499" i="522"/>
  <c r="BS499" i="522"/>
  <c r="BN499" i="522"/>
  <c r="BK499" i="522"/>
  <c r="BH499" i="522"/>
  <c r="BE499" i="522"/>
  <c r="AY499" i="522"/>
  <c r="AR499" i="522"/>
  <c r="AQ499" i="522"/>
  <c r="A859" i="541"/>
  <c r="BY505" i="522"/>
  <c r="BS505" i="522"/>
  <c r="BN505" i="522"/>
  <c r="BK505" i="522"/>
  <c r="BH505" i="522"/>
  <c r="BE505" i="522"/>
  <c r="AY505" i="522"/>
  <c r="AR505" i="522"/>
  <c r="AQ505" i="522"/>
  <c r="A858" i="541"/>
  <c r="BY511" i="522"/>
  <c r="BS511" i="522"/>
  <c r="BN511" i="522"/>
  <c r="BK511" i="522"/>
  <c r="BH511" i="522"/>
  <c r="BE511" i="522"/>
  <c r="BB511" i="522"/>
  <c r="AY511" i="522"/>
  <c r="AR511" i="522"/>
  <c r="AS511" i="522" s="1"/>
  <c r="AQ511" i="522"/>
  <c r="A857" i="541"/>
  <c r="BY517" i="522"/>
  <c r="BS517" i="522"/>
  <c r="BN517" i="522"/>
  <c r="BK517" i="522"/>
  <c r="BH517" i="522"/>
  <c r="BE517" i="522"/>
  <c r="BB517" i="522"/>
  <c r="AR517" i="522"/>
  <c r="A856" i="541"/>
  <c r="BY523" i="522"/>
  <c r="BS523" i="522"/>
  <c r="BN523" i="522"/>
  <c r="BK523" i="522"/>
  <c r="BH523" i="522"/>
  <c r="BE523" i="522"/>
  <c r="BB523" i="522"/>
  <c r="AR523" i="522"/>
  <c r="AQ523" i="522"/>
  <c r="A855" i="541"/>
  <c r="BY529" i="522"/>
  <c r="BS529" i="522"/>
  <c r="BN529" i="522"/>
  <c r="BK529" i="522"/>
  <c r="BH529" i="522"/>
  <c r="BE529" i="522"/>
  <c r="BB529" i="522"/>
  <c r="AY529" i="522"/>
  <c r="AR529" i="522"/>
  <c r="AQ529" i="522"/>
  <c r="A854" i="541"/>
  <c r="BY535" i="522"/>
  <c r="BS535" i="522"/>
  <c r="BN535" i="522"/>
  <c r="BK535" i="522"/>
  <c r="BH535" i="522"/>
  <c r="BE535" i="522"/>
  <c r="AY535" i="522"/>
  <c r="AR535" i="522"/>
  <c r="A853" i="541"/>
  <c r="BY541" i="522"/>
  <c r="BS541" i="522"/>
  <c r="BN541" i="522"/>
  <c r="BK541" i="522"/>
  <c r="BH541" i="522"/>
  <c r="BE541" i="522"/>
  <c r="BB541" i="522"/>
  <c r="AR541" i="522"/>
  <c r="A852" i="541"/>
  <c r="BY547" i="522"/>
  <c r="BS547" i="522"/>
  <c r="BN547" i="522"/>
  <c r="BK547" i="522"/>
  <c r="BH547" i="522"/>
  <c r="BE547" i="522"/>
  <c r="AY547" i="522"/>
  <c r="AR547" i="522"/>
  <c r="A851" i="541"/>
  <c r="BY553" i="522"/>
  <c r="BS553" i="522"/>
  <c r="BN553" i="522"/>
  <c r="BK553" i="522"/>
  <c r="BH553" i="522"/>
  <c r="BE553" i="522"/>
  <c r="BB553" i="522"/>
  <c r="AY553" i="522"/>
  <c r="AR553" i="522"/>
  <c r="AQ553" i="522"/>
  <c r="A850" i="541"/>
  <c r="BY559" i="522"/>
  <c r="BS559" i="522"/>
  <c r="BN559" i="522"/>
  <c r="BK559" i="522"/>
  <c r="BH559" i="522"/>
  <c r="BE559" i="522"/>
  <c r="BB559" i="522"/>
  <c r="AY559" i="522"/>
  <c r="AR559" i="522"/>
  <c r="AQ559" i="522"/>
  <c r="A849" i="541"/>
  <c r="BY565" i="522"/>
  <c r="BS565" i="522"/>
  <c r="BN565" i="522"/>
  <c r="BK565" i="522"/>
  <c r="BH565" i="522"/>
  <c r="BB565" i="522"/>
  <c r="AY565" i="522"/>
  <c r="AR565" i="522"/>
  <c r="A848" i="541"/>
  <c r="BY571" i="522"/>
  <c r="BS571" i="522"/>
  <c r="BN571" i="522"/>
  <c r="BK571" i="522"/>
  <c r="BH571" i="522"/>
  <c r="BE571" i="522"/>
  <c r="BB571" i="522"/>
  <c r="AY571" i="522"/>
  <c r="AR571" i="522"/>
  <c r="AQ571" i="522"/>
  <c r="A847" i="541"/>
  <c r="BY577" i="522"/>
  <c r="BS577" i="522"/>
  <c r="BN577" i="522"/>
  <c r="BK577" i="522"/>
  <c r="BH577" i="522"/>
  <c r="BE577" i="522"/>
  <c r="BB577" i="522"/>
  <c r="AY577" i="522"/>
  <c r="AR577" i="522"/>
  <c r="AQ577" i="522"/>
  <c r="AS577" i="522" s="1"/>
  <c r="A845" i="541"/>
  <c r="A846" i="541"/>
  <c r="A838" i="541"/>
  <c r="A839" i="541"/>
  <c r="A840" i="541"/>
  <c r="A841" i="541"/>
  <c r="A842" i="541"/>
  <c r="A843" i="541"/>
  <c r="A844" i="541"/>
  <c r="BY576" i="522"/>
  <c r="BS576" i="522"/>
  <c r="BN576" i="522"/>
  <c r="BK576" i="522"/>
  <c r="BH576" i="522"/>
  <c r="BE576" i="522"/>
  <c r="BB576" i="522"/>
  <c r="AY576" i="522"/>
  <c r="AR576" i="522"/>
  <c r="AQ576" i="522"/>
  <c r="AS576" i="522" s="1"/>
  <c r="A836" i="541"/>
  <c r="A837" i="541"/>
  <c r="A829" i="541"/>
  <c r="A830" i="541"/>
  <c r="A831" i="541"/>
  <c r="A832" i="541"/>
  <c r="A833" i="541"/>
  <c r="A834" i="541"/>
  <c r="A835" i="541"/>
  <c r="BY570" i="522"/>
  <c r="BS570" i="522"/>
  <c r="BN570" i="522"/>
  <c r="BK570" i="522"/>
  <c r="BH570" i="522"/>
  <c r="BE570" i="522"/>
  <c r="BB570" i="522"/>
  <c r="AY570" i="522"/>
  <c r="AR570" i="522"/>
  <c r="AQ570" i="522"/>
  <c r="A827" i="541"/>
  <c r="A828" i="541"/>
  <c r="A820" i="541"/>
  <c r="A821" i="541"/>
  <c r="A822" i="541"/>
  <c r="A823" i="541"/>
  <c r="A824" i="541"/>
  <c r="A825" i="541"/>
  <c r="A826" i="541"/>
  <c r="BY564" i="522"/>
  <c r="BS564" i="522"/>
  <c r="BN564" i="522"/>
  <c r="BK564" i="522"/>
  <c r="BH564" i="522"/>
  <c r="BE564" i="522"/>
  <c r="BB564" i="522"/>
  <c r="AY564" i="522"/>
  <c r="AR564" i="522"/>
  <c r="AS564" i="522" s="1"/>
  <c r="AQ564" i="522"/>
  <c r="A818" i="541"/>
  <c r="A819" i="541"/>
  <c r="A811" i="541"/>
  <c r="A812" i="541"/>
  <c r="A813" i="541"/>
  <c r="A814" i="541"/>
  <c r="A815" i="541"/>
  <c r="A816" i="541"/>
  <c r="A817" i="541"/>
  <c r="BY558" i="522"/>
  <c r="BS558" i="522"/>
  <c r="BN558" i="522"/>
  <c r="BK558" i="522"/>
  <c r="BH558" i="522"/>
  <c r="BE558" i="522"/>
  <c r="BB558" i="522"/>
  <c r="AY558" i="522"/>
  <c r="AR558" i="522"/>
  <c r="AQ558" i="522"/>
  <c r="A809" i="541"/>
  <c r="A810" i="541"/>
  <c r="A802" i="541"/>
  <c r="A803" i="541"/>
  <c r="A804" i="541"/>
  <c r="A805" i="541"/>
  <c r="A806" i="541"/>
  <c r="A807" i="541"/>
  <c r="A808" i="541"/>
  <c r="BY552" i="522"/>
  <c r="BS552" i="522"/>
  <c r="BN552" i="522"/>
  <c r="BK552" i="522"/>
  <c r="BH552" i="522"/>
  <c r="BE552" i="522"/>
  <c r="BB552" i="522"/>
  <c r="AY552" i="522"/>
  <c r="AR552" i="522"/>
  <c r="AQ552" i="522"/>
  <c r="A800" i="541"/>
  <c r="A801" i="541"/>
  <c r="A793" i="541"/>
  <c r="A794" i="541"/>
  <c r="A795" i="541"/>
  <c r="A796" i="541"/>
  <c r="A797" i="541"/>
  <c r="A798" i="541"/>
  <c r="A799" i="541"/>
  <c r="BY546" i="522"/>
  <c r="BS546" i="522"/>
  <c r="BN546" i="522"/>
  <c r="BK546" i="522"/>
  <c r="BH546" i="522"/>
  <c r="BE546" i="522"/>
  <c r="BB546" i="522"/>
  <c r="AY546" i="522"/>
  <c r="AR546" i="522"/>
  <c r="AQ546" i="522"/>
  <c r="A791" i="541"/>
  <c r="A792" i="541"/>
  <c r="A784" i="541"/>
  <c r="A785" i="541"/>
  <c r="A786" i="541"/>
  <c r="A787" i="541"/>
  <c r="A788" i="541"/>
  <c r="A789" i="541"/>
  <c r="A790" i="541"/>
  <c r="BY540" i="522"/>
  <c r="BS540" i="522"/>
  <c r="BN540" i="522"/>
  <c r="BK540" i="522"/>
  <c r="BH540" i="522"/>
  <c r="BE540" i="522"/>
  <c r="BB540" i="522"/>
  <c r="AY540" i="522"/>
  <c r="AR540" i="522"/>
  <c r="AQ540" i="522"/>
  <c r="AS540" i="522" s="1"/>
  <c r="A782" i="541"/>
  <c r="A783" i="541"/>
  <c r="A775" i="541"/>
  <c r="A776" i="541"/>
  <c r="A777" i="541"/>
  <c r="A778" i="541"/>
  <c r="A779" i="541"/>
  <c r="A780" i="541"/>
  <c r="A781" i="541"/>
  <c r="BY534" i="522"/>
  <c r="BS534" i="522"/>
  <c r="BN534" i="522"/>
  <c r="BK534" i="522"/>
  <c r="BH534" i="522"/>
  <c r="BE534" i="522"/>
  <c r="BB534" i="522"/>
  <c r="AY534" i="522"/>
  <c r="AR534" i="522"/>
  <c r="AS534" i="522" s="1"/>
  <c r="AQ534" i="522"/>
  <c r="A773" i="541"/>
  <c r="A774" i="541"/>
  <c r="A766" i="541"/>
  <c r="A767" i="541"/>
  <c r="A768" i="541"/>
  <c r="A769" i="541"/>
  <c r="A770" i="541"/>
  <c r="A771" i="541"/>
  <c r="A772" i="541"/>
  <c r="BY528" i="522"/>
  <c r="BS528" i="522"/>
  <c r="BN528" i="522"/>
  <c r="BK528" i="522"/>
  <c r="BH528" i="522"/>
  <c r="BE528" i="522"/>
  <c r="BB528" i="522"/>
  <c r="AY528" i="522"/>
  <c r="AR528" i="522"/>
  <c r="AS528" i="522" s="1"/>
  <c r="AQ528" i="522"/>
  <c r="A764" i="541"/>
  <c r="A765" i="541"/>
  <c r="A757" i="541"/>
  <c r="A758" i="541"/>
  <c r="A759" i="541"/>
  <c r="A760" i="541"/>
  <c r="A761" i="541"/>
  <c r="A762" i="541"/>
  <c r="A763" i="541"/>
  <c r="BY522" i="522"/>
  <c r="BS522" i="522"/>
  <c r="BN522" i="522"/>
  <c r="BK522" i="522"/>
  <c r="BH522" i="522"/>
  <c r="BE522" i="522"/>
  <c r="BB522" i="522"/>
  <c r="AY522" i="522"/>
  <c r="AR522" i="522"/>
  <c r="AQ522" i="522"/>
  <c r="A755" i="541"/>
  <c r="A756" i="541"/>
  <c r="A748" i="541"/>
  <c r="A749" i="541"/>
  <c r="A750" i="541"/>
  <c r="A751" i="541"/>
  <c r="A752" i="541"/>
  <c r="A753" i="541"/>
  <c r="A754" i="541"/>
  <c r="BY516" i="522"/>
  <c r="BS516" i="522"/>
  <c r="BN516" i="522"/>
  <c r="BK516" i="522"/>
  <c r="BH516" i="522"/>
  <c r="BE516" i="522"/>
  <c r="BB516" i="522"/>
  <c r="AY516" i="522"/>
  <c r="AR516" i="522"/>
  <c r="AQ516" i="522"/>
  <c r="A746" i="541"/>
  <c r="A747" i="541"/>
  <c r="A739" i="541"/>
  <c r="A740" i="541"/>
  <c r="A741" i="541"/>
  <c r="A742" i="541"/>
  <c r="A743" i="541"/>
  <c r="A744" i="541"/>
  <c r="A745" i="541"/>
  <c r="BY510" i="522"/>
  <c r="BS510" i="522"/>
  <c r="BN510" i="522"/>
  <c r="BK510" i="522"/>
  <c r="BH510" i="522"/>
  <c r="BE510" i="522"/>
  <c r="BB510" i="522"/>
  <c r="AY510" i="522"/>
  <c r="AR510" i="522"/>
  <c r="AQ510" i="522"/>
  <c r="A737" i="541"/>
  <c r="A738" i="541"/>
  <c r="A730" i="541"/>
  <c r="A731" i="541"/>
  <c r="A732" i="541"/>
  <c r="A733" i="541"/>
  <c r="A734" i="541"/>
  <c r="A735" i="541"/>
  <c r="A736" i="541"/>
  <c r="BY504" i="522"/>
  <c r="BS504" i="522"/>
  <c r="BN504" i="522"/>
  <c r="BK504" i="522"/>
  <c r="BH504" i="522"/>
  <c r="BE504" i="522"/>
  <c r="BB504" i="522"/>
  <c r="AY504" i="522"/>
  <c r="AR504" i="522"/>
  <c r="AQ504" i="522"/>
  <c r="AS504" i="522" s="1"/>
  <c r="A728" i="541"/>
  <c r="A729" i="541"/>
  <c r="A721" i="541"/>
  <c r="A722" i="541"/>
  <c r="A723" i="541"/>
  <c r="A724" i="541"/>
  <c r="A725" i="541"/>
  <c r="A726" i="541"/>
  <c r="A727" i="541"/>
  <c r="BY498" i="522"/>
  <c r="BS498" i="522"/>
  <c r="BN498" i="522"/>
  <c r="BK498" i="522"/>
  <c r="BH498" i="522"/>
  <c r="BE498" i="522"/>
  <c r="BB498" i="522"/>
  <c r="AY498" i="522"/>
  <c r="AR498" i="522"/>
  <c r="AQ498" i="522"/>
  <c r="A719" i="541"/>
  <c r="A720" i="541"/>
  <c r="A712" i="541"/>
  <c r="A713" i="541"/>
  <c r="A714" i="541"/>
  <c r="A715" i="541"/>
  <c r="A716" i="541"/>
  <c r="A717" i="541"/>
  <c r="A718" i="541"/>
  <c r="BY492" i="522"/>
  <c r="BS492" i="522"/>
  <c r="BN492" i="522"/>
  <c r="BK492" i="522"/>
  <c r="BH492" i="522"/>
  <c r="BE492" i="522"/>
  <c r="BB492" i="522"/>
  <c r="AY492" i="522"/>
  <c r="AR492" i="522"/>
  <c r="AQ492" i="522"/>
  <c r="A710" i="541"/>
  <c r="A711" i="541"/>
  <c r="A703" i="541"/>
  <c r="A704" i="541"/>
  <c r="A705" i="541"/>
  <c r="A706" i="541"/>
  <c r="A707" i="541"/>
  <c r="A708" i="541"/>
  <c r="A709" i="541"/>
  <c r="BY486" i="522"/>
  <c r="BS486" i="522"/>
  <c r="BN486" i="522"/>
  <c r="BK486" i="522"/>
  <c r="BH486" i="522"/>
  <c r="BE486" i="522"/>
  <c r="BB486" i="522"/>
  <c r="AY486" i="522"/>
  <c r="AR486" i="522"/>
  <c r="AQ486" i="522"/>
  <c r="A701" i="541"/>
  <c r="A702" i="541"/>
  <c r="A694" i="541"/>
  <c r="A695" i="541"/>
  <c r="A696" i="541"/>
  <c r="A697" i="541"/>
  <c r="A698" i="541"/>
  <c r="A699" i="541"/>
  <c r="A700" i="541"/>
  <c r="BY480" i="522"/>
  <c r="BS480" i="522"/>
  <c r="BN480" i="522"/>
  <c r="BK480" i="522"/>
  <c r="BH480" i="522"/>
  <c r="BE480" i="522"/>
  <c r="BB480" i="522"/>
  <c r="AY480" i="522"/>
  <c r="AR480" i="522"/>
  <c r="AQ480" i="522"/>
  <c r="A692" i="541"/>
  <c r="A693" i="541"/>
  <c r="A685" i="541"/>
  <c r="A686" i="541"/>
  <c r="A687" i="541"/>
  <c r="A688" i="541"/>
  <c r="A689" i="541"/>
  <c r="A690" i="541"/>
  <c r="A691" i="541"/>
  <c r="BY474" i="522"/>
  <c r="BS474" i="522"/>
  <c r="BN474" i="522"/>
  <c r="BK474" i="522"/>
  <c r="BH474" i="522"/>
  <c r="BE474" i="522"/>
  <c r="BB474" i="522"/>
  <c r="AY474" i="522"/>
  <c r="AR474" i="522"/>
  <c r="AQ474" i="522"/>
  <c r="A683" i="541"/>
  <c r="A684" i="541"/>
  <c r="A676" i="541"/>
  <c r="A677" i="541"/>
  <c r="A678" i="541"/>
  <c r="A679" i="541"/>
  <c r="A680" i="541"/>
  <c r="A681" i="541"/>
  <c r="A682" i="541"/>
  <c r="BY468" i="522"/>
  <c r="BS468" i="522"/>
  <c r="BN468" i="522"/>
  <c r="BK468" i="522"/>
  <c r="BH468" i="522"/>
  <c r="BE468" i="522"/>
  <c r="BB468" i="522"/>
  <c r="AY468" i="522"/>
  <c r="AR468" i="522"/>
  <c r="AQ468" i="522"/>
  <c r="A674" i="541"/>
  <c r="A675" i="541"/>
  <c r="A667" i="541"/>
  <c r="A668" i="541"/>
  <c r="A669" i="541"/>
  <c r="A670" i="541"/>
  <c r="A671" i="541"/>
  <c r="A672" i="541"/>
  <c r="A673" i="541"/>
  <c r="BY462" i="522"/>
  <c r="BS462" i="522"/>
  <c r="BN462" i="522"/>
  <c r="BK462" i="522"/>
  <c r="BH462" i="522"/>
  <c r="BE462" i="522"/>
  <c r="BB462" i="522"/>
  <c r="AY462" i="522"/>
  <c r="AR462" i="522"/>
  <c r="AQ462" i="522"/>
  <c r="AS462" i="522" s="1"/>
  <c r="AS492" i="522" l="1"/>
  <c r="AY517" i="522"/>
  <c r="AS649" i="522"/>
  <c r="AS778" i="522"/>
  <c r="AS785" i="522"/>
  <c r="BB535" i="522"/>
  <c r="AS529" i="522"/>
  <c r="AS654" i="522"/>
  <c r="AQ565" i="522"/>
  <c r="AQ469" i="522"/>
  <c r="AS469" i="522" s="1"/>
  <c r="AS779" i="522"/>
  <c r="AS826" i="522"/>
  <c r="AS546" i="522"/>
  <c r="AS565" i="522"/>
  <c r="AS642" i="522"/>
  <c r="AS601" i="522"/>
  <c r="AQ697" i="522"/>
  <c r="AS791" i="522"/>
  <c r="AQ703" i="522"/>
  <c r="AS474" i="522"/>
  <c r="AS559" i="522"/>
  <c r="AS499" i="522"/>
  <c r="AS756" i="522"/>
  <c r="AS803" i="522"/>
  <c r="AS517" i="522"/>
  <c r="AS547" i="522"/>
  <c r="AQ827" i="522"/>
  <c r="AS827" i="522" s="1"/>
  <c r="AS815" i="522"/>
  <c r="AS808" i="522"/>
  <c r="AS809" i="522"/>
  <c r="AS802" i="522"/>
  <c r="AS796" i="522"/>
  <c r="AS797" i="522"/>
  <c r="AS790" i="522"/>
  <c r="AS784" i="522"/>
  <c r="AS772" i="522"/>
  <c r="AS770" i="522"/>
  <c r="AS771" i="522"/>
  <c r="AS764" i="522"/>
  <c r="AS762" i="522"/>
  <c r="AY763" i="522"/>
  <c r="AS763" i="522"/>
  <c r="AS757" i="522"/>
  <c r="AS750" i="522"/>
  <c r="AS751" i="522"/>
  <c r="AS744" i="522"/>
  <c r="AS745" i="522"/>
  <c r="AS738" i="522"/>
  <c r="AS739" i="522"/>
  <c r="AS733" i="522"/>
  <c r="AS727" i="522"/>
  <c r="AS726" i="522"/>
  <c r="AS720" i="522"/>
  <c r="AS721" i="522"/>
  <c r="AS714" i="522"/>
  <c r="AQ709" i="522"/>
  <c r="AS709" i="522" s="1"/>
  <c r="AS703" i="522"/>
  <c r="AS697" i="522"/>
  <c r="AS690" i="522"/>
  <c r="AS691" i="522"/>
  <c r="AS673" i="522"/>
  <c r="AS666" i="522"/>
  <c r="AS667" i="522"/>
  <c r="AS660" i="522"/>
  <c r="AS661" i="522"/>
  <c r="AS655" i="522"/>
  <c r="AS643" i="522"/>
  <c r="AS637" i="522"/>
  <c r="AS636" i="522"/>
  <c r="AQ631" i="522"/>
  <c r="AS631" i="522"/>
  <c r="AS630" i="522"/>
  <c r="AS625" i="522"/>
  <c r="AQ619" i="522"/>
  <c r="AS619" i="522" s="1"/>
  <c r="AS612" i="522"/>
  <c r="AS607" i="522"/>
  <c r="AS595" i="522"/>
  <c r="AS589" i="522"/>
  <c r="AS582" i="522"/>
  <c r="AS571" i="522"/>
  <c r="AS570" i="522"/>
  <c r="AS558" i="522"/>
  <c r="AS552" i="522"/>
  <c r="AS553" i="522"/>
  <c r="BB547" i="522"/>
  <c r="AQ541" i="522"/>
  <c r="AS541" i="522" s="1"/>
  <c r="AS535" i="522"/>
  <c r="AS523" i="522"/>
  <c r="AS522" i="522"/>
  <c r="AS516" i="522"/>
  <c r="AS510" i="522"/>
  <c r="AS505" i="522"/>
  <c r="AS498" i="522"/>
  <c r="AS493" i="522"/>
  <c r="AS486" i="522"/>
  <c r="AS480" i="522"/>
  <c r="AS468" i="522"/>
  <c r="AS463" i="522"/>
  <c r="AZ457" i="522" l="1"/>
  <c r="BB457" i="522" s="1"/>
  <c r="AZ451" i="522"/>
  <c r="AZ445" i="522"/>
  <c r="BB445" i="522" s="1"/>
  <c r="AZ439" i="522"/>
  <c r="BB439" i="522" s="1"/>
  <c r="AZ433" i="522"/>
  <c r="BB433" i="522" s="1"/>
  <c r="AZ427" i="522"/>
  <c r="AQ427" i="522" s="1"/>
  <c r="AZ421" i="522"/>
  <c r="AZ415" i="522"/>
  <c r="BB415" i="522" s="1"/>
  <c r="AW409" i="522"/>
  <c r="AY409" i="522" s="1"/>
  <c r="AW403" i="522"/>
  <c r="AW397" i="522"/>
  <c r="AZ391" i="522"/>
  <c r="AQ391" i="522" s="1"/>
  <c r="AW385" i="522"/>
  <c r="AW379" i="522"/>
  <c r="AQ379" i="522" s="1"/>
  <c r="BC373" i="522"/>
  <c r="AW373" i="522"/>
  <c r="AQ373" i="522" s="1"/>
  <c r="AW367" i="522"/>
  <c r="AQ367" i="522" s="1"/>
  <c r="BC361" i="522"/>
  <c r="AZ355" i="522"/>
  <c r="AQ355" i="522" s="1"/>
  <c r="AW349" i="522"/>
  <c r="BC343" i="522"/>
  <c r="AW343" i="522"/>
  <c r="AY343" i="522" s="1"/>
  <c r="A666" i="541"/>
  <c r="BY457" i="522"/>
  <c r="BS457" i="522"/>
  <c r="BN457" i="522"/>
  <c r="BK457" i="522"/>
  <c r="BH457" i="522"/>
  <c r="BE457" i="522"/>
  <c r="AY457" i="522"/>
  <c r="AR457" i="522"/>
  <c r="AQ457" i="522"/>
  <c r="A665" i="541"/>
  <c r="BY451" i="522"/>
  <c r="BS451" i="522"/>
  <c r="BN451" i="522"/>
  <c r="BK451" i="522"/>
  <c r="BH451" i="522"/>
  <c r="BE451" i="522"/>
  <c r="BB451" i="522"/>
  <c r="AY451" i="522"/>
  <c r="AR451" i="522"/>
  <c r="AS451" i="522" s="1"/>
  <c r="AQ451" i="522"/>
  <c r="A664" i="541"/>
  <c r="BY445" i="522"/>
  <c r="BS445" i="522"/>
  <c r="BN445" i="522"/>
  <c r="BK445" i="522"/>
  <c r="BH445" i="522"/>
  <c r="BE445" i="522"/>
  <c r="AY445" i="522"/>
  <c r="AR445" i="522"/>
  <c r="AS445" i="522" s="1"/>
  <c r="AQ445" i="522"/>
  <c r="A663" i="541"/>
  <c r="BY439" i="522"/>
  <c r="BS439" i="522"/>
  <c r="BN439" i="522"/>
  <c r="BK439" i="522"/>
  <c r="BH439" i="522"/>
  <c r="BE439" i="522"/>
  <c r="AY439" i="522"/>
  <c r="AR439" i="522"/>
  <c r="AQ439" i="522"/>
  <c r="A662" i="541"/>
  <c r="BY433" i="522"/>
  <c r="BS433" i="522"/>
  <c r="BN433" i="522"/>
  <c r="BK433" i="522"/>
  <c r="BH433" i="522"/>
  <c r="BE433" i="522"/>
  <c r="AY433" i="522"/>
  <c r="AR433" i="522"/>
  <c r="AQ433" i="522"/>
  <c r="A661" i="541"/>
  <c r="BY427" i="522"/>
  <c r="BS427" i="522"/>
  <c r="BN427" i="522"/>
  <c r="BK427" i="522"/>
  <c r="BH427" i="522"/>
  <c r="BE427" i="522"/>
  <c r="AY427" i="522"/>
  <c r="AR427" i="522"/>
  <c r="A660" i="541"/>
  <c r="BY421" i="522"/>
  <c r="BS421" i="522"/>
  <c r="BN421" i="522"/>
  <c r="BK421" i="522"/>
  <c r="BH421" i="522"/>
  <c r="BE421" i="522"/>
  <c r="BB421" i="522"/>
  <c r="AY421" i="522"/>
  <c r="AR421" i="522"/>
  <c r="AQ421" i="522"/>
  <c r="A659" i="541"/>
  <c r="BY415" i="522"/>
  <c r="BS415" i="522"/>
  <c r="BN415" i="522"/>
  <c r="BK415" i="522"/>
  <c r="BH415" i="522"/>
  <c r="BE415" i="522"/>
  <c r="AY415" i="522"/>
  <c r="AR415" i="522"/>
  <c r="AQ415" i="522"/>
  <c r="A658" i="541"/>
  <c r="BY409" i="522"/>
  <c r="BS409" i="522"/>
  <c r="BN409" i="522"/>
  <c r="BK409" i="522"/>
  <c r="BH409" i="522"/>
  <c r="BE409" i="522"/>
  <c r="BB409" i="522"/>
  <c r="AR409" i="522"/>
  <c r="AQ409" i="522"/>
  <c r="A657" i="541"/>
  <c r="BY403" i="522"/>
  <c r="BS403" i="522"/>
  <c r="BN403" i="522"/>
  <c r="BK403" i="522"/>
  <c r="BH403" i="522"/>
  <c r="BE403" i="522"/>
  <c r="BB403" i="522"/>
  <c r="AY403" i="522"/>
  <c r="AR403" i="522"/>
  <c r="AQ403" i="522"/>
  <c r="A656" i="541"/>
  <c r="BY397" i="522"/>
  <c r="BS397" i="522"/>
  <c r="BN397" i="522"/>
  <c r="BK397" i="522"/>
  <c r="BH397" i="522"/>
  <c r="BE397" i="522"/>
  <c r="BB397" i="522"/>
  <c r="AY397" i="522"/>
  <c r="AR397" i="522"/>
  <c r="AQ397" i="522"/>
  <c r="A655" i="541"/>
  <c r="BY391" i="522"/>
  <c r="BS391" i="522"/>
  <c r="BN391" i="522"/>
  <c r="BK391" i="522"/>
  <c r="BH391" i="522"/>
  <c r="BE391" i="522"/>
  <c r="BB391" i="522"/>
  <c r="AY391" i="522"/>
  <c r="AR391" i="522"/>
  <c r="A654" i="541"/>
  <c r="BY385" i="522"/>
  <c r="BS385" i="522"/>
  <c r="BN385" i="522"/>
  <c r="BK385" i="522"/>
  <c r="BH385" i="522"/>
  <c r="BE385" i="522"/>
  <c r="BB385" i="522"/>
  <c r="AY385" i="522"/>
  <c r="AR385" i="522"/>
  <c r="AQ385" i="522"/>
  <c r="AS385" i="522" s="1"/>
  <c r="A653" i="541"/>
  <c r="BY379" i="522"/>
  <c r="BS379" i="522"/>
  <c r="BN379" i="522"/>
  <c r="BK379" i="522"/>
  <c r="BH379" i="522"/>
  <c r="BE379" i="522"/>
  <c r="BB379" i="522"/>
  <c r="AY379" i="522"/>
  <c r="AR379" i="522"/>
  <c r="A652" i="541"/>
  <c r="BY373" i="522"/>
  <c r="BS373" i="522"/>
  <c r="BN373" i="522"/>
  <c r="BK373" i="522"/>
  <c r="BH373" i="522"/>
  <c r="BE373" i="522"/>
  <c r="BB373" i="522"/>
  <c r="AY373" i="522"/>
  <c r="AR373" i="522"/>
  <c r="A651" i="541"/>
  <c r="BY367" i="522"/>
  <c r="BS367" i="522"/>
  <c r="BN367" i="522"/>
  <c r="BK367" i="522"/>
  <c r="BH367" i="522"/>
  <c r="BE367" i="522"/>
  <c r="BB367" i="522"/>
  <c r="AY367" i="522"/>
  <c r="AR367" i="522"/>
  <c r="A650" i="541"/>
  <c r="BY361" i="522"/>
  <c r="BS361" i="522"/>
  <c r="BN361" i="522"/>
  <c r="BK361" i="522"/>
  <c r="BH361" i="522"/>
  <c r="BE361" i="522"/>
  <c r="BB361" i="522"/>
  <c r="AY361" i="522"/>
  <c r="AR361" i="522"/>
  <c r="AS361" i="522" s="1"/>
  <c r="AQ361" i="522"/>
  <c r="A649" i="541"/>
  <c r="BY355" i="522"/>
  <c r="BS355" i="522"/>
  <c r="BN355" i="522"/>
  <c r="BK355" i="522"/>
  <c r="BH355" i="522"/>
  <c r="BE355" i="522"/>
  <c r="BB355" i="522"/>
  <c r="AY355" i="522"/>
  <c r="AR355" i="522"/>
  <c r="A648" i="541"/>
  <c r="BY349" i="522"/>
  <c r="BS349" i="522"/>
  <c r="BN349" i="522"/>
  <c r="BK349" i="522"/>
  <c r="BH349" i="522"/>
  <c r="BE349" i="522"/>
  <c r="BB349" i="522"/>
  <c r="AY349" i="522"/>
  <c r="AR349" i="522"/>
  <c r="AS349" i="522" s="1"/>
  <c r="AQ349" i="522"/>
  <c r="A647" i="541"/>
  <c r="BY343" i="522"/>
  <c r="BS343" i="522"/>
  <c r="BN343" i="522"/>
  <c r="BK343" i="522"/>
  <c r="BH343" i="522"/>
  <c r="BE343" i="522"/>
  <c r="BB343" i="522"/>
  <c r="AR343" i="522"/>
  <c r="AQ343" i="522"/>
  <c r="A645" i="541"/>
  <c r="A646" i="541"/>
  <c r="A638" i="541"/>
  <c r="A639" i="541"/>
  <c r="A640" i="541"/>
  <c r="A641" i="541"/>
  <c r="A642" i="541"/>
  <c r="A643" i="541"/>
  <c r="A644" i="541"/>
  <c r="BY456" i="522"/>
  <c r="BS456" i="522"/>
  <c r="BN456" i="522"/>
  <c r="BK456" i="522"/>
  <c r="BH456" i="522"/>
  <c r="BE456" i="522"/>
  <c r="BB456" i="522"/>
  <c r="AY456" i="522"/>
  <c r="AR456" i="522"/>
  <c r="AS456" i="522" s="1"/>
  <c r="AQ456" i="522"/>
  <c r="A636" i="541"/>
  <c r="A637" i="541"/>
  <c r="A629" i="541"/>
  <c r="A630" i="541"/>
  <c r="A631" i="541"/>
  <c r="A632" i="541"/>
  <c r="A633" i="541"/>
  <c r="A634" i="541"/>
  <c r="A635" i="541"/>
  <c r="BY450" i="522"/>
  <c r="BS450" i="522"/>
  <c r="BN450" i="522"/>
  <c r="BK450" i="522"/>
  <c r="BH450" i="522"/>
  <c r="BE450" i="522"/>
  <c r="BB450" i="522"/>
  <c r="AY450" i="522"/>
  <c r="AR450" i="522"/>
  <c r="AQ450" i="522"/>
  <c r="A627" i="541"/>
  <c r="A628" i="541"/>
  <c r="A620" i="541"/>
  <c r="A621" i="541"/>
  <c r="A622" i="541"/>
  <c r="A623" i="541"/>
  <c r="A624" i="541"/>
  <c r="A625" i="541"/>
  <c r="A626" i="541"/>
  <c r="BY444" i="522"/>
  <c r="BS444" i="522"/>
  <c r="BN444" i="522"/>
  <c r="BK444" i="522"/>
  <c r="BH444" i="522"/>
  <c r="BE444" i="522"/>
  <c r="BB444" i="522"/>
  <c r="AY444" i="522"/>
  <c r="AR444" i="522"/>
  <c r="AQ444" i="522"/>
  <c r="A618" i="541"/>
  <c r="A619" i="541"/>
  <c r="A611" i="541"/>
  <c r="A612" i="541"/>
  <c r="A613" i="541"/>
  <c r="A614" i="541"/>
  <c r="A615" i="541"/>
  <c r="A616" i="541"/>
  <c r="A617" i="541"/>
  <c r="BY438" i="522"/>
  <c r="BS438" i="522"/>
  <c r="BN438" i="522"/>
  <c r="BK438" i="522"/>
  <c r="BH438" i="522"/>
  <c r="BE438" i="522"/>
  <c r="BB438" i="522"/>
  <c r="AY438" i="522"/>
  <c r="AR438" i="522"/>
  <c r="AQ438" i="522"/>
  <c r="A609" i="541"/>
  <c r="A610" i="541"/>
  <c r="A602" i="541"/>
  <c r="A603" i="541"/>
  <c r="A604" i="541"/>
  <c r="A605" i="541"/>
  <c r="A606" i="541"/>
  <c r="A607" i="541"/>
  <c r="A608" i="541"/>
  <c r="BY432" i="522"/>
  <c r="BS432" i="522"/>
  <c r="BN432" i="522"/>
  <c r="BK432" i="522"/>
  <c r="BH432" i="522"/>
  <c r="BE432" i="522"/>
  <c r="BB432" i="522"/>
  <c r="AY432" i="522"/>
  <c r="AR432" i="522"/>
  <c r="AQ432" i="522"/>
  <c r="AS432" i="522" s="1"/>
  <c r="A600" i="541"/>
  <c r="A601" i="541"/>
  <c r="A593" i="541"/>
  <c r="A594" i="541"/>
  <c r="A595" i="541"/>
  <c r="A596" i="541"/>
  <c r="A597" i="541"/>
  <c r="A598" i="541"/>
  <c r="A599" i="541"/>
  <c r="BY426" i="522"/>
  <c r="BS426" i="522"/>
  <c r="BN426" i="522"/>
  <c r="BK426" i="522"/>
  <c r="BH426" i="522"/>
  <c r="BE426" i="522"/>
  <c r="BB426" i="522"/>
  <c r="AY426" i="522"/>
  <c r="AR426" i="522"/>
  <c r="AQ426" i="522"/>
  <c r="A591" i="541"/>
  <c r="A592" i="541"/>
  <c r="A584" i="541"/>
  <c r="A585" i="541"/>
  <c r="A586" i="541"/>
  <c r="A587" i="541"/>
  <c r="A588" i="541"/>
  <c r="A589" i="541"/>
  <c r="A590" i="541"/>
  <c r="BY420" i="522"/>
  <c r="BS420" i="522"/>
  <c r="BN420" i="522"/>
  <c r="BK420" i="522"/>
  <c r="BH420" i="522"/>
  <c r="BE420" i="522"/>
  <c r="BB420" i="522"/>
  <c r="AY420" i="522"/>
  <c r="AR420" i="522"/>
  <c r="AQ420" i="522"/>
  <c r="A582" i="541"/>
  <c r="A583" i="541"/>
  <c r="A575" i="541"/>
  <c r="A576" i="541"/>
  <c r="A577" i="541"/>
  <c r="A578" i="541"/>
  <c r="A579" i="541"/>
  <c r="A580" i="541"/>
  <c r="A581" i="541"/>
  <c r="BY414" i="522"/>
  <c r="BS414" i="522"/>
  <c r="BN414" i="522"/>
  <c r="BK414" i="522"/>
  <c r="BH414" i="522"/>
  <c r="BE414" i="522"/>
  <c r="BB414" i="522"/>
  <c r="AY414" i="522"/>
  <c r="AR414" i="522"/>
  <c r="AQ414" i="522"/>
  <c r="A573" i="541"/>
  <c r="A574" i="541"/>
  <c r="A566" i="541"/>
  <c r="A567" i="541"/>
  <c r="A568" i="541"/>
  <c r="A569" i="541"/>
  <c r="A570" i="541"/>
  <c r="A571" i="541"/>
  <c r="A572" i="541"/>
  <c r="BY408" i="522"/>
  <c r="BS408" i="522"/>
  <c r="BN408" i="522"/>
  <c r="BK408" i="522"/>
  <c r="BH408" i="522"/>
  <c r="BE408" i="522"/>
  <c r="BB408" i="522"/>
  <c r="AY408" i="522"/>
  <c r="AR408" i="522"/>
  <c r="AQ408" i="522"/>
  <c r="A564" i="541"/>
  <c r="A565" i="541"/>
  <c r="A557" i="541"/>
  <c r="A558" i="541"/>
  <c r="A559" i="541"/>
  <c r="A560" i="541"/>
  <c r="A561" i="541"/>
  <c r="A562" i="541"/>
  <c r="A563" i="541"/>
  <c r="BY402" i="522"/>
  <c r="BS402" i="522"/>
  <c r="BN402" i="522"/>
  <c r="BK402" i="522"/>
  <c r="BH402" i="522"/>
  <c r="BE402" i="522"/>
  <c r="BB402" i="522"/>
  <c r="AY402" i="522"/>
  <c r="AR402" i="522"/>
  <c r="AQ402" i="522"/>
  <c r="A555" i="541"/>
  <c r="A556" i="541"/>
  <c r="A548" i="541"/>
  <c r="A549" i="541"/>
  <c r="A550" i="541"/>
  <c r="A551" i="541"/>
  <c r="A552" i="541"/>
  <c r="A553" i="541"/>
  <c r="A554" i="541"/>
  <c r="BY396" i="522"/>
  <c r="BS396" i="522"/>
  <c r="BN396" i="522"/>
  <c r="BK396" i="522"/>
  <c r="BH396" i="522"/>
  <c r="BE396" i="522"/>
  <c r="BB396" i="522"/>
  <c r="AY396" i="522"/>
  <c r="AR396" i="522"/>
  <c r="AQ396" i="522"/>
  <c r="A546" i="541"/>
  <c r="A547" i="541"/>
  <c r="A539" i="541"/>
  <c r="A540" i="541"/>
  <c r="A541" i="541"/>
  <c r="A542" i="541"/>
  <c r="A543" i="541"/>
  <c r="A544" i="541"/>
  <c r="A545" i="541"/>
  <c r="BY390" i="522"/>
  <c r="BS390" i="522"/>
  <c r="BN390" i="522"/>
  <c r="BK390" i="522"/>
  <c r="BH390" i="522"/>
  <c r="BE390" i="522"/>
  <c r="BB390" i="522"/>
  <c r="AY390" i="522"/>
  <c r="AR390" i="522"/>
  <c r="AQ390" i="522"/>
  <c r="A537" i="541"/>
  <c r="A538" i="541"/>
  <c r="A530" i="541"/>
  <c r="A531" i="541"/>
  <c r="A532" i="541"/>
  <c r="A533" i="541"/>
  <c r="A534" i="541"/>
  <c r="A535" i="541"/>
  <c r="A536" i="541"/>
  <c r="BY384" i="522"/>
  <c r="BS384" i="522"/>
  <c r="BN384" i="522"/>
  <c r="BK384" i="522"/>
  <c r="BH384" i="522"/>
  <c r="BE384" i="522"/>
  <c r="BB384" i="522"/>
  <c r="AY384" i="522"/>
  <c r="AR384" i="522"/>
  <c r="AS384" i="522" s="1"/>
  <c r="AQ384" i="522"/>
  <c r="A528" i="541"/>
  <c r="A529" i="541"/>
  <c r="A521" i="541"/>
  <c r="A522" i="541"/>
  <c r="A523" i="541"/>
  <c r="A524" i="541"/>
  <c r="A525" i="541"/>
  <c r="A526" i="541"/>
  <c r="A527" i="541"/>
  <c r="BY378" i="522"/>
  <c r="BS378" i="522"/>
  <c r="BN378" i="522"/>
  <c r="BK378" i="522"/>
  <c r="BH378" i="522"/>
  <c r="BE378" i="522"/>
  <c r="BB378" i="522"/>
  <c r="AY378" i="522"/>
  <c r="AR378" i="522"/>
  <c r="AQ378" i="522"/>
  <c r="A519" i="541"/>
  <c r="A520" i="541"/>
  <c r="A512" i="541"/>
  <c r="A513" i="541"/>
  <c r="A514" i="541"/>
  <c r="A515" i="541"/>
  <c r="A516" i="541"/>
  <c r="A517" i="541"/>
  <c r="A518" i="541"/>
  <c r="BY372" i="522"/>
  <c r="BS372" i="522"/>
  <c r="BN372" i="522"/>
  <c r="BK372" i="522"/>
  <c r="BH372" i="522"/>
  <c r="BE372" i="522"/>
  <c r="BB372" i="522"/>
  <c r="AY372" i="522"/>
  <c r="AR372" i="522"/>
  <c r="AQ372" i="522"/>
  <c r="A510" i="541"/>
  <c r="A511" i="541"/>
  <c r="A503" i="541"/>
  <c r="A504" i="541"/>
  <c r="A505" i="541"/>
  <c r="A506" i="541"/>
  <c r="A507" i="541"/>
  <c r="A508" i="541"/>
  <c r="A509" i="541"/>
  <c r="BY366" i="522"/>
  <c r="BS366" i="522"/>
  <c r="BN366" i="522"/>
  <c r="BK366" i="522"/>
  <c r="BH366" i="522"/>
  <c r="BE366" i="522"/>
  <c r="BB366" i="522"/>
  <c r="AY366" i="522"/>
  <c r="AR366" i="522"/>
  <c r="AQ366" i="522"/>
  <c r="A501" i="541"/>
  <c r="A502" i="541"/>
  <c r="A494" i="541"/>
  <c r="A495" i="541"/>
  <c r="A496" i="541"/>
  <c r="A497" i="541"/>
  <c r="A498" i="541"/>
  <c r="A499" i="541"/>
  <c r="A500" i="541"/>
  <c r="BY360" i="522"/>
  <c r="BS360" i="522"/>
  <c r="BN360" i="522"/>
  <c r="BK360" i="522"/>
  <c r="BH360" i="522"/>
  <c r="BE360" i="522"/>
  <c r="BB360" i="522"/>
  <c r="AY360" i="522"/>
  <c r="AR360" i="522"/>
  <c r="AQ360" i="522"/>
  <c r="A492" i="541"/>
  <c r="A493" i="541"/>
  <c r="A485" i="541"/>
  <c r="A486" i="541"/>
  <c r="A487" i="541"/>
  <c r="A488" i="541"/>
  <c r="A489" i="541"/>
  <c r="A490" i="541"/>
  <c r="A491" i="541"/>
  <c r="BY354" i="522"/>
  <c r="BS354" i="522"/>
  <c r="BN354" i="522"/>
  <c r="BK354" i="522"/>
  <c r="BH354" i="522"/>
  <c r="BE354" i="522"/>
  <c r="BB354" i="522"/>
  <c r="AY354" i="522"/>
  <c r="AR354" i="522"/>
  <c r="AQ354" i="522"/>
  <c r="A483" i="541"/>
  <c r="A484" i="541"/>
  <c r="A476" i="541"/>
  <c r="A477" i="541"/>
  <c r="A478" i="541"/>
  <c r="A479" i="541"/>
  <c r="A480" i="541"/>
  <c r="A481" i="541"/>
  <c r="A482" i="541"/>
  <c r="BY348" i="522"/>
  <c r="BS348" i="522"/>
  <c r="BN348" i="522"/>
  <c r="BK348" i="522"/>
  <c r="BH348" i="522"/>
  <c r="BE348" i="522"/>
  <c r="BB348" i="522"/>
  <c r="AY348" i="522"/>
  <c r="AR348" i="522"/>
  <c r="AQ348" i="522"/>
  <c r="A474" i="541"/>
  <c r="A475" i="541"/>
  <c r="A467" i="541"/>
  <c r="A468" i="541"/>
  <c r="A469" i="541"/>
  <c r="A470" i="541"/>
  <c r="A471" i="541"/>
  <c r="A472" i="541"/>
  <c r="A473" i="541"/>
  <c r="BY342" i="522"/>
  <c r="BS342" i="522"/>
  <c r="BN342" i="522"/>
  <c r="BK342" i="522"/>
  <c r="BH342" i="522"/>
  <c r="BE342" i="522"/>
  <c r="BB342" i="522"/>
  <c r="AY342" i="522"/>
  <c r="AR342" i="522"/>
  <c r="AQ342" i="522"/>
  <c r="BC337" i="522"/>
  <c r="AW331" i="522"/>
  <c r="AY331" i="522" s="1"/>
  <c r="AW325" i="522"/>
  <c r="AZ319" i="522"/>
  <c r="BB319" i="522" s="1"/>
  <c r="AW313" i="522"/>
  <c r="AW307" i="522"/>
  <c r="AQ307" i="522" s="1"/>
  <c r="AW301" i="522"/>
  <c r="AZ295" i="522"/>
  <c r="AW289" i="522"/>
  <c r="AW283" i="522"/>
  <c r="AW277" i="522"/>
  <c r="AZ271" i="522"/>
  <c r="AQ271" i="522" s="1"/>
  <c r="A466" i="541"/>
  <c r="BY271" i="522"/>
  <c r="BS271" i="522"/>
  <c r="BN271" i="522"/>
  <c r="BK271" i="522"/>
  <c r="BH271" i="522"/>
  <c r="BE271" i="522"/>
  <c r="BB271" i="522"/>
  <c r="AY271" i="522"/>
  <c r="AR271" i="522"/>
  <c r="A465" i="541"/>
  <c r="BY277" i="522"/>
  <c r="BS277" i="522"/>
  <c r="BN277" i="522"/>
  <c r="BK277" i="522"/>
  <c r="BH277" i="522"/>
  <c r="BE277" i="522"/>
  <c r="BB277" i="522"/>
  <c r="AY277" i="522"/>
  <c r="AR277" i="522"/>
  <c r="AQ277" i="522"/>
  <c r="AS277" i="522" s="1"/>
  <c r="A464" i="541"/>
  <c r="BY283" i="522"/>
  <c r="BS283" i="522"/>
  <c r="BN283" i="522"/>
  <c r="BK283" i="522"/>
  <c r="BH283" i="522"/>
  <c r="BE283" i="522"/>
  <c r="BB283" i="522"/>
  <c r="AY283" i="522"/>
  <c r="AR283" i="522"/>
  <c r="AQ283" i="522"/>
  <c r="A463" i="541"/>
  <c r="BY289" i="522"/>
  <c r="BS289" i="522"/>
  <c r="BN289" i="522"/>
  <c r="BK289" i="522"/>
  <c r="BH289" i="522"/>
  <c r="BE289" i="522"/>
  <c r="BB289" i="522"/>
  <c r="AY289" i="522"/>
  <c r="AR289" i="522"/>
  <c r="AQ289" i="522"/>
  <c r="A462" i="541"/>
  <c r="BY295" i="522"/>
  <c r="BS295" i="522"/>
  <c r="BN295" i="522"/>
  <c r="BK295" i="522"/>
  <c r="BH295" i="522"/>
  <c r="BE295" i="522"/>
  <c r="BB295" i="522"/>
  <c r="AY295" i="522"/>
  <c r="AR295" i="522"/>
  <c r="AQ295" i="522"/>
  <c r="A461" i="541"/>
  <c r="BY301" i="522"/>
  <c r="BS301" i="522"/>
  <c r="BN301" i="522"/>
  <c r="BK301" i="522"/>
  <c r="BH301" i="522"/>
  <c r="BE301" i="522"/>
  <c r="BB301" i="522"/>
  <c r="AY301" i="522"/>
  <c r="AR301" i="522"/>
  <c r="AQ301" i="522"/>
  <c r="A460" i="541"/>
  <c r="BY307" i="522"/>
  <c r="BS307" i="522"/>
  <c r="BN307" i="522"/>
  <c r="BK307" i="522"/>
  <c r="BH307" i="522"/>
  <c r="BE307" i="522"/>
  <c r="BB307" i="522"/>
  <c r="AR307" i="522"/>
  <c r="A459" i="541"/>
  <c r="BY313" i="522"/>
  <c r="BS313" i="522"/>
  <c r="BN313" i="522"/>
  <c r="BK313" i="522"/>
  <c r="BH313" i="522"/>
  <c r="BE313" i="522"/>
  <c r="BB313" i="522"/>
  <c r="AY313" i="522"/>
  <c r="AR313" i="522"/>
  <c r="AQ313" i="522"/>
  <c r="AS313" i="522" s="1"/>
  <c r="A458" i="541"/>
  <c r="BY319" i="522"/>
  <c r="BS319" i="522"/>
  <c r="BN319" i="522"/>
  <c r="BK319" i="522"/>
  <c r="BH319" i="522"/>
  <c r="BE319" i="522"/>
  <c r="AY319" i="522"/>
  <c r="AR319" i="522"/>
  <c r="A457" i="541"/>
  <c r="BY325" i="522"/>
  <c r="BS325" i="522"/>
  <c r="BN325" i="522"/>
  <c r="BK325" i="522"/>
  <c r="BH325" i="522"/>
  <c r="BE325" i="522"/>
  <c r="BB325" i="522"/>
  <c r="AY325" i="522"/>
  <c r="AR325" i="522"/>
  <c r="AQ325" i="522"/>
  <c r="A456" i="541"/>
  <c r="BY331" i="522"/>
  <c r="BS331" i="522"/>
  <c r="BN331" i="522"/>
  <c r="BK331" i="522"/>
  <c r="BH331" i="522"/>
  <c r="BE331" i="522"/>
  <c r="BB331" i="522"/>
  <c r="AR331" i="522"/>
  <c r="AQ331" i="522"/>
  <c r="A455" i="541"/>
  <c r="BY337" i="522"/>
  <c r="BS337" i="522"/>
  <c r="BN337" i="522"/>
  <c r="BK337" i="522"/>
  <c r="BH337" i="522"/>
  <c r="BE337" i="522"/>
  <c r="BB337" i="522"/>
  <c r="AY337" i="522"/>
  <c r="AR337" i="522"/>
  <c r="AQ337" i="522"/>
  <c r="A453" i="541"/>
  <c r="A454" i="541"/>
  <c r="A446" i="541"/>
  <c r="A447" i="541"/>
  <c r="A448" i="541"/>
  <c r="A449" i="541"/>
  <c r="A450" i="541"/>
  <c r="A451" i="541"/>
  <c r="A452" i="541"/>
  <c r="BY336" i="522"/>
  <c r="BS336" i="522"/>
  <c r="BN336" i="522"/>
  <c r="BK336" i="522"/>
  <c r="BH336" i="522"/>
  <c r="BE336" i="522"/>
  <c r="BB336" i="522"/>
  <c r="AY336" i="522"/>
  <c r="AR336" i="522"/>
  <c r="AQ336" i="522"/>
  <c r="A444" i="541"/>
  <c r="A445" i="541"/>
  <c r="A437" i="541"/>
  <c r="A438" i="541"/>
  <c r="A439" i="541"/>
  <c r="A440" i="541"/>
  <c r="A441" i="541"/>
  <c r="A442" i="541"/>
  <c r="A443" i="541"/>
  <c r="BY330" i="522"/>
  <c r="BS330" i="522"/>
  <c r="BN330" i="522"/>
  <c r="BK330" i="522"/>
  <c r="BH330" i="522"/>
  <c r="BE330" i="522"/>
  <c r="BB330" i="522"/>
  <c r="AY330" i="522"/>
  <c r="AR330" i="522"/>
  <c r="AS330" i="522" s="1"/>
  <c r="AQ330" i="522"/>
  <c r="A435" i="541"/>
  <c r="A436" i="541"/>
  <c r="A428" i="541"/>
  <c r="A429" i="541"/>
  <c r="A430" i="541"/>
  <c r="A431" i="541"/>
  <c r="A432" i="541"/>
  <c r="A433" i="541"/>
  <c r="A434" i="541"/>
  <c r="BY324" i="522"/>
  <c r="BS324" i="522"/>
  <c r="BN324" i="522"/>
  <c r="BK324" i="522"/>
  <c r="BH324" i="522"/>
  <c r="BE324" i="522"/>
  <c r="BB324" i="522"/>
  <c r="AY324" i="522"/>
  <c r="AR324" i="522"/>
  <c r="AQ324" i="522"/>
  <c r="A426" i="541"/>
  <c r="A427" i="541"/>
  <c r="A419" i="541"/>
  <c r="A420" i="541"/>
  <c r="A421" i="541"/>
  <c r="A422" i="541"/>
  <c r="A423" i="541"/>
  <c r="A424" i="541"/>
  <c r="A425" i="541"/>
  <c r="BY318" i="522"/>
  <c r="BS318" i="522"/>
  <c r="BN318" i="522"/>
  <c r="BK318" i="522"/>
  <c r="BH318" i="522"/>
  <c r="BE318" i="522"/>
  <c r="BB318" i="522"/>
  <c r="AY318" i="522"/>
  <c r="AR318" i="522"/>
  <c r="AS318" i="522" s="1"/>
  <c r="AQ318" i="522"/>
  <c r="A417" i="541"/>
  <c r="A418" i="541"/>
  <c r="A410" i="541"/>
  <c r="A411" i="541"/>
  <c r="A412" i="541"/>
  <c r="A413" i="541"/>
  <c r="A414" i="541"/>
  <c r="A415" i="541"/>
  <c r="A416" i="541"/>
  <c r="BY312" i="522"/>
  <c r="BS312" i="522"/>
  <c r="BN312" i="522"/>
  <c r="BK312" i="522"/>
  <c r="BH312" i="522"/>
  <c r="BE312" i="522"/>
  <c r="BB312" i="522"/>
  <c r="AY312" i="522"/>
  <c r="AR312" i="522"/>
  <c r="AS312" i="522" s="1"/>
  <c r="AQ312" i="522"/>
  <c r="A408" i="541"/>
  <c r="A409" i="541"/>
  <c r="A401" i="541"/>
  <c r="A402" i="541"/>
  <c r="A403" i="541"/>
  <c r="A404" i="541"/>
  <c r="A405" i="541"/>
  <c r="A406" i="541"/>
  <c r="A407" i="541"/>
  <c r="BY306" i="522"/>
  <c r="BS306" i="522"/>
  <c r="BN306" i="522"/>
  <c r="BK306" i="522"/>
  <c r="BH306" i="522"/>
  <c r="BE306" i="522"/>
  <c r="BB306" i="522"/>
  <c r="AY306" i="522"/>
  <c r="AR306" i="522"/>
  <c r="AQ306" i="522"/>
  <c r="A399" i="541"/>
  <c r="A400" i="541"/>
  <c r="A392" i="541"/>
  <c r="A393" i="541"/>
  <c r="A394" i="541"/>
  <c r="A395" i="541"/>
  <c r="A396" i="541"/>
  <c r="A397" i="541"/>
  <c r="A398" i="541"/>
  <c r="BY300" i="522"/>
  <c r="BS300" i="522"/>
  <c r="BN300" i="522"/>
  <c r="BK300" i="522"/>
  <c r="BH300" i="522"/>
  <c r="BE300" i="522"/>
  <c r="BB300" i="522"/>
  <c r="AY300" i="522"/>
  <c r="AR300" i="522"/>
  <c r="AQ300" i="522"/>
  <c r="A390" i="541"/>
  <c r="A391" i="541"/>
  <c r="A383" i="541"/>
  <c r="A384" i="541"/>
  <c r="A385" i="541"/>
  <c r="A386" i="541"/>
  <c r="A387" i="541"/>
  <c r="A388" i="541"/>
  <c r="A389" i="541"/>
  <c r="BY294" i="522"/>
  <c r="BS294" i="522"/>
  <c r="BN294" i="522"/>
  <c r="BK294" i="522"/>
  <c r="BH294" i="522"/>
  <c r="BE294" i="522"/>
  <c r="BB294" i="522"/>
  <c r="AY294" i="522"/>
  <c r="AR294" i="522"/>
  <c r="AQ294" i="522"/>
  <c r="A381" i="541"/>
  <c r="A382" i="541"/>
  <c r="A374" i="541"/>
  <c r="A375" i="541"/>
  <c r="A376" i="541"/>
  <c r="A377" i="541"/>
  <c r="A378" i="541"/>
  <c r="A379" i="541"/>
  <c r="A380" i="541"/>
  <c r="BY288" i="522"/>
  <c r="BS288" i="522"/>
  <c r="BN288" i="522"/>
  <c r="BK288" i="522"/>
  <c r="BH288" i="522"/>
  <c r="BE288" i="522"/>
  <c r="BB288" i="522"/>
  <c r="AY288" i="522"/>
  <c r="AR288" i="522"/>
  <c r="AQ288" i="522"/>
  <c r="A372" i="541"/>
  <c r="A373" i="541"/>
  <c r="A365" i="541"/>
  <c r="A366" i="541"/>
  <c r="A367" i="541"/>
  <c r="A368" i="541"/>
  <c r="A369" i="541"/>
  <c r="A370" i="541"/>
  <c r="A371" i="541"/>
  <c r="BY282" i="522"/>
  <c r="BS282" i="522"/>
  <c r="BN282" i="522"/>
  <c r="BK282" i="522"/>
  <c r="BH282" i="522"/>
  <c r="BE282" i="522"/>
  <c r="BB282" i="522"/>
  <c r="AY282" i="522"/>
  <c r="AR282" i="522"/>
  <c r="AQ282" i="522"/>
  <c r="A363" i="541"/>
  <c r="A364" i="541"/>
  <c r="A356" i="541"/>
  <c r="A357" i="541"/>
  <c r="A358" i="541"/>
  <c r="A359" i="541"/>
  <c r="A360" i="541"/>
  <c r="A361" i="541"/>
  <c r="A362" i="541"/>
  <c r="BY276" i="522"/>
  <c r="BS276" i="522"/>
  <c r="BN276" i="522"/>
  <c r="BK276" i="522"/>
  <c r="BH276" i="522"/>
  <c r="BE276" i="522"/>
  <c r="BB276" i="522"/>
  <c r="AY276" i="522"/>
  <c r="AR276" i="522"/>
  <c r="AQ276" i="522"/>
  <c r="A354" i="541"/>
  <c r="A355" i="541"/>
  <c r="A347" i="541"/>
  <c r="A348" i="541"/>
  <c r="A349" i="541"/>
  <c r="A350" i="541"/>
  <c r="A351" i="541"/>
  <c r="A352" i="541"/>
  <c r="A353" i="541"/>
  <c r="BY270" i="522"/>
  <c r="BS270" i="522"/>
  <c r="BN270" i="522"/>
  <c r="BK270" i="522"/>
  <c r="BH270" i="522"/>
  <c r="BE270" i="522"/>
  <c r="BB270" i="522"/>
  <c r="AY270" i="522"/>
  <c r="AR270" i="522"/>
  <c r="AQ270" i="522"/>
  <c r="BC265" i="522"/>
  <c r="BE265" i="522" s="1"/>
  <c r="A346" i="541"/>
  <c r="BY265" i="522"/>
  <c r="BS265" i="522"/>
  <c r="BN265" i="522"/>
  <c r="BK265" i="522"/>
  <c r="BH265" i="522"/>
  <c r="BB265" i="522"/>
  <c r="AY265" i="522"/>
  <c r="AR265" i="522"/>
  <c r="A344" i="541"/>
  <c r="A345" i="541"/>
  <c r="A337" i="541"/>
  <c r="A338" i="541"/>
  <c r="A339" i="541"/>
  <c r="A340" i="541"/>
  <c r="A341" i="541"/>
  <c r="A342" i="541"/>
  <c r="A343" i="541"/>
  <c r="BY264" i="522"/>
  <c r="BS264" i="522"/>
  <c r="BN264" i="522"/>
  <c r="BK264" i="522"/>
  <c r="BH264" i="522"/>
  <c r="BE264" i="522"/>
  <c r="BB264" i="522"/>
  <c r="AY264" i="522"/>
  <c r="AR264" i="522"/>
  <c r="AQ264" i="522"/>
  <c r="AZ259" i="522"/>
  <c r="AW259" i="522"/>
  <c r="AQ259" i="522" s="1"/>
  <c r="BC253" i="522"/>
  <c r="AZ253" i="522"/>
  <c r="BC247" i="522"/>
  <c r="BC241" i="522"/>
  <c r="BE241" i="522" s="1"/>
  <c r="AZ241" i="522"/>
  <c r="AQ241" i="522" s="1"/>
  <c r="BC235" i="522"/>
  <c r="BE235" i="522" s="1"/>
  <c r="AZ235" i="522"/>
  <c r="BB235" i="522" s="1"/>
  <c r="AZ229" i="522"/>
  <c r="BB229" i="522" s="1"/>
  <c r="AW229" i="522"/>
  <c r="AZ223" i="522"/>
  <c r="AW223" i="522"/>
  <c r="AZ217" i="522"/>
  <c r="BB217" i="522" s="1"/>
  <c r="AW217" i="522"/>
  <c r="AQ217" i="522" s="1"/>
  <c r="BC211" i="522"/>
  <c r="BE211" i="522" s="1"/>
  <c r="BC205" i="522"/>
  <c r="BE205" i="522" s="1"/>
  <c r="AZ205" i="522"/>
  <c r="AQ205" i="522" s="1"/>
  <c r="AZ199" i="522"/>
  <c r="AW199" i="522"/>
  <c r="AY199" i="522" s="1"/>
  <c r="BC193" i="522"/>
  <c r="BC187" i="522"/>
  <c r="BE187" i="522" s="1"/>
  <c r="BC181" i="522"/>
  <c r="AZ181" i="522"/>
  <c r="AQ181" i="522" s="1"/>
  <c r="AS181" i="522" s="1"/>
  <c r="AZ175" i="522"/>
  <c r="BB175" i="522" s="1"/>
  <c r="AW175" i="522"/>
  <c r="AY175" i="522" s="1"/>
  <c r="AW169" i="522"/>
  <c r="AQ169" i="522" s="1"/>
  <c r="BE163" i="522"/>
  <c r="AZ163" i="522"/>
  <c r="AQ163" i="522" s="1"/>
  <c r="AW163" i="522"/>
  <c r="AY163" i="522" s="1"/>
  <c r="A336" i="541"/>
  <c r="BY259" i="522"/>
  <c r="BS259" i="522"/>
  <c r="BN259" i="522"/>
  <c r="BK259" i="522"/>
  <c r="BH259" i="522"/>
  <c r="BE259" i="522"/>
  <c r="BB259" i="522"/>
  <c r="AR259" i="522"/>
  <c r="A334" i="541"/>
  <c r="A335" i="541"/>
  <c r="A327" i="541"/>
  <c r="A328" i="541"/>
  <c r="A329" i="541"/>
  <c r="A330" i="541"/>
  <c r="A331" i="541"/>
  <c r="A332" i="541"/>
  <c r="A333" i="541"/>
  <c r="BY258" i="522"/>
  <c r="BS258" i="522"/>
  <c r="BN258" i="522"/>
  <c r="BK258" i="522"/>
  <c r="BH258" i="522"/>
  <c r="BE258" i="522"/>
  <c r="BB258" i="522"/>
  <c r="AY258" i="522"/>
  <c r="AR258" i="522"/>
  <c r="AQ258" i="522"/>
  <c r="A326" i="541"/>
  <c r="BY253" i="522"/>
  <c r="BS253" i="522"/>
  <c r="BN253" i="522"/>
  <c r="BK253" i="522"/>
  <c r="BH253" i="522"/>
  <c r="BE253" i="522"/>
  <c r="BB253" i="522"/>
  <c r="AY253" i="522"/>
  <c r="AR253" i="522"/>
  <c r="A324" i="541"/>
  <c r="A325" i="541"/>
  <c r="A317" i="541"/>
  <c r="A318" i="541"/>
  <c r="A319" i="541"/>
  <c r="A320" i="541"/>
  <c r="A321" i="541"/>
  <c r="A322" i="541"/>
  <c r="A323" i="541"/>
  <c r="BY252" i="522"/>
  <c r="BS252" i="522"/>
  <c r="BN252" i="522"/>
  <c r="BK252" i="522"/>
  <c r="BH252" i="522"/>
  <c r="BE252" i="522"/>
  <c r="BB252" i="522"/>
  <c r="AY252" i="522"/>
  <c r="AR252" i="522"/>
  <c r="AQ252" i="522"/>
  <c r="A316" i="541"/>
  <c r="BY247" i="522"/>
  <c r="BS247" i="522"/>
  <c r="BN247" i="522"/>
  <c r="BK247" i="522"/>
  <c r="BH247" i="522"/>
  <c r="BE247" i="522"/>
  <c r="BB247" i="522"/>
  <c r="AY247" i="522"/>
  <c r="AR247" i="522"/>
  <c r="AQ247" i="522"/>
  <c r="A315" i="541"/>
  <c r="BY241" i="522"/>
  <c r="BS241" i="522"/>
  <c r="BN241" i="522"/>
  <c r="BK241" i="522"/>
  <c r="BH241" i="522"/>
  <c r="AY241" i="522"/>
  <c r="AR241" i="522"/>
  <c r="A314" i="541"/>
  <c r="BY235" i="522"/>
  <c r="BS235" i="522"/>
  <c r="BN235" i="522"/>
  <c r="BK235" i="522"/>
  <c r="BH235" i="522"/>
  <c r="AY235" i="522"/>
  <c r="AR235" i="522"/>
  <c r="A313" i="541"/>
  <c r="BY229" i="522"/>
  <c r="BS229" i="522"/>
  <c r="BN229" i="522"/>
  <c r="BK229" i="522"/>
  <c r="BH229" i="522"/>
  <c r="BE229" i="522"/>
  <c r="AY229" i="522"/>
  <c r="AR229" i="522"/>
  <c r="A312" i="541"/>
  <c r="BY223" i="522"/>
  <c r="BS223" i="522"/>
  <c r="BN223" i="522"/>
  <c r="BK223" i="522"/>
  <c r="BH223" i="522"/>
  <c r="BE223" i="522"/>
  <c r="BB223" i="522"/>
  <c r="AY223" i="522"/>
  <c r="AR223" i="522"/>
  <c r="AQ223" i="522"/>
  <c r="A311" i="541"/>
  <c r="BY217" i="522"/>
  <c r="BS217" i="522"/>
  <c r="BN217" i="522"/>
  <c r="BK217" i="522"/>
  <c r="BH217" i="522"/>
  <c r="BE217" i="522"/>
  <c r="AR217" i="522"/>
  <c r="A310" i="541"/>
  <c r="BY211" i="522"/>
  <c r="BS211" i="522"/>
  <c r="BN211" i="522"/>
  <c r="BK211" i="522"/>
  <c r="BH211" i="522"/>
  <c r="BB211" i="522"/>
  <c r="AY211" i="522"/>
  <c r="AR211" i="522"/>
  <c r="A309" i="541"/>
  <c r="BY205" i="522"/>
  <c r="BS205" i="522"/>
  <c r="BN205" i="522"/>
  <c r="BK205" i="522"/>
  <c r="BH205" i="522"/>
  <c r="AY205" i="522"/>
  <c r="AR205" i="522"/>
  <c r="A308" i="541"/>
  <c r="BY199" i="522"/>
  <c r="BS199" i="522"/>
  <c r="BN199" i="522"/>
  <c r="BK199" i="522"/>
  <c r="BH199" i="522"/>
  <c r="BE199" i="522"/>
  <c r="BB199" i="522"/>
  <c r="AR199" i="522"/>
  <c r="AQ199" i="522"/>
  <c r="A307" i="541"/>
  <c r="BY193" i="522"/>
  <c r="BS193" i="522"/>
  <c r="BN193" i="522"/>
  <c r="BK193" i="522"/>
  <c r="BH193" i="522"/>
  <c r="BE193" i="522"/>
  <c r="BB193" i="522"/>
  <c r="AY193" i="522"/>
  <c r="AR193" i="522"/>
  <c r="AQ193" i="522"/>
  <c r="A306" i="541"/>
  <c r="BY187" i="522"/>
  <c r="BS187" i="522"/>
  <c r="BN187" i="522"/>
  <c r="BK187" i="522"/>
  <c r="BH187" i="522"/>
  <c r="BB187" i="522"/>
  <c r="AY187" i="522"/>
  <c r="AR187" i="522"/>
  <c r="AQ187" i="522"/>
  <c r="A305" i="541"/>
  <c r="BY181" i="522"/>
  <c r="BS181" i="522"/>
  <c r="BN181" i="522"/>
  <c r="BK181" i="522"/>
  <c r="BH181" i="522"/>
  <c r="BE181" i="522"/>
  <c r="AY181" i="522"/>
  <c r="AR181" i="522"/>
  <c r="A304" i="541"/>
  <c r="BY175" i="522"/>
  <c r="BS175" i="522"/>
  <c r="BN175" i="522"/>
  <c r="BK175" i="522"/>
  <c r="BH175" i="522"/>
  <c r="BE175" i="522"/>
  <c r="AR175" i="522"/>
  <c r="A303" i="541"/>
  <c r="BY169" i="522"/>
  <c r="BS169" i="522"/>
  <c r="BN169" i="522"/>
  <c r="BK169" i="522"/>
  <c r="BH169" i="522"/>
  <c r="BE169" i="522"/>
  <c r="BB169" i="522"/>
  <c r="AR169" i="522"/>
  <c r="A302" i="541"/>
  <c r="BY163" i="522"/>
  <c r="BS163" i="522"/>
  <c r="BN163" i="522"/>
  <c r="BK163" i="522"/>
  <c r="BH163" i="522"/>
  <c r="AR163" i="522"/>
  <c r="A300" i="541"/>
  <c r="A301" i="541"/>
  <c r="A293" i="541"/>
  <c r="A294" i="541"/>
  <c r="A295" i="541"/>
  <c r="A296" i="541"/>
  <c r="A297" i="541"/>
  <c r="A298" i="541"/>
  <c r="A299" i="541"/>
  <c r="BY246" i="522"/>
  <c r="BS246" i="522"/>
  <c r="BN246" i="522"/>
  <c r="BK246" i="522"/>
  <c r="BH246" i="522"/>
  <c r="BE246" i="522"/>
  <c r="BB246" i="522"/>
  <c r="AY246" i="522"/>
  <c r="AR246" i="522"/>
  <c r="AQ246" i="522"/>
  <c r="A291" i="541"/>
  <c r="A292" i="541"/>
  <c r="A284" i="541"/>
  <c r="A285" i="541"/>
  <c r="A286" i="541"/>
  <c r="A287" i="541"/>
  <c r="A288" i="541"/>
  <c r="A289" i="541"/>
  <c r="A290" i="541"/>
  <c r="BY240" i="522"/>
  <c r="BS240" i="522"/>
  <c r="BN240" i="522"/>
  <c r="BK240" i="522"/>
  <c r="BH240" i="522"/>
  <c r="BE240" i="522"/>
  <c r="BB240" i="522"/>
  <c r="AY240" i="522"/>
  <c r="AR240" i="522"/>
  <c r="AQ240" i="522"/>
  <c r="A282" i="541"/>
  <c r="A283" i="541"/>
  <c r="A275" i="541"/>
  <c r="A276" i="541"/>
  <c r="A277" i="541"/>
  <c r="A278" i="541"/>
  <c r="A279" i="541"/>
  <c r="A280" i="541"/>
  <c r="A281" i="541"/>
  <c r="BY234" i="522"/>
  <c r="BS234" i="522"/>
  <c r="BN234" i="522"/>
  <c r="BK234" i="522"/>
  <c r="BH234" i="522"/>
  <c r="BE234" i="522"/>
  <c r="BB234" i="522"/>
  <c r="AY234" i="522"/>
  <c r="AR234" i="522"/>
  <c r="AQ234" i="522"/>
  <c r="A273" i="541"/>
  <c r="A274" i="541"/>
  <c r="A266" i="541"/>
  <c r="A267" i="541"/>
  <c r="A268" i="541"/>
  <c r="A269" i="541"/>
  <c r="A270" i="541"/>
  <c r="A271" i="541"/>
  <c r="A272" i="541"/>
  <c r="BY228" i="522"/>
  <c r="BS228" i="522"/>
  <c r="BN228" i="522"/>
  <c r="BK228" i="522"/>
  <c r="BH228" i="522"/>
  <c r="BE228" i="522"/>
  <c r="BB228" i="522"/>
  <c r="AY228" i="522"/>
  <c r="AR228" i="522"/>
  <c r="AQ228" i="522"/>
  <c r="AS228" i="522" s="1"/>
  <c r="A264" i="541"/>
  <c r="A265" i="541"/>
  <c r="A257" i="541"/>
  <c r="A258" i="541"/>
  <c r="A259" i="541"/>
  <c r="A260" i="541"/>
  <c r="A261" i="541"/>
  <c r="A262" i="541"/>
  <c r="A263" i="541"/>
  <c r="BY222" i="522"/>
  <c r="BS222" i="522"/>
  <c r="BN222" i="522"/>
  <c r="BK222" i="522"/>
  <c r="BH222" i="522"/>
  <c r="BE222" i="522"/>
  <c r="BB222" i="522"/>
  <c r="AY222" i="522"/>
  <c r="AR222" i="522"/>
  <c r="AQ222" i="522"/>
  <c r="A255" i="541"/>
  <c r="A256" i="541"/>
  <c r="A248" i="541"/>
  <c r="A249" i="541"/>
  <c r="A250" i="541"/>
  <c r="A251" i="541"/>
  <c r="A252" i="541"/>
  <c r="A253" i="541"/>
  <c r="A254" i="541"/>
  <c r="BY216" i="522"/>
  <c r="BS216" i="522"/>
  <c r="BN216" i="522"/>
  <c r="BK216" i="522"/>
  <c r="BH216" i="522"/>
  <c r="BE216" i="522"/>
  <c r="BB216" i="522"/>
  <c r="AY216" i="522"/>
  <c r="AR216" i="522"/>
  <c r="AQ216" i="522"/>
  <c r="A246" i="541"/>
  <c r="A247" i="541"/>
  <c r="A239" i="541"/>
  <c r="A240" i="541"/>
  <c r="A241" i="541"/>
  <c r="A242" i="541"/>
  <c r="A243" i="541"/>
  <c r="A244" i="541"/>
  <c r="A245" i="541"/>
  <c r="BY210" i="522"/>
  <c r="BS210" i="522"/>
  <c r="BN210" i="522"/>
  <c r="BK210" i="522"/>
  <c r="BH210" i="522"/>
  <c r="BE210" i="522"/>
  <c r="BB210" i="522"/>
  <c r="AY210" i="522"/>
  <c r="AR210" i="522"/>
  <c r="AQ210" i="522"/>
  <c r="A237" i="541"/>
  <c r="A238" i="541"/>
  <c r="A230" i="541"/>
  <c r="A231" i="541"/>
  <c r="A232" i="541"/>
  <c r="A233" i="541"/>
  <c r="A234" i="541"/>
  <c r="A235" i="541"/>
  <c r="A236" i="541"/>
  <c r="BY204" i="522"/>
  <c r="BS204" i="522"/>
  <c r="BN204" i="522"/>
  <c r="BK204" i="522"/>
  <c r="BH204" i="522"/>
  <c r="BE204" i="522"/>
  <c r="BB204" i="522"/>
  <c r="AY204" i="522"/>
  <c r="AR204" i="522"/>
  <c r="AQ204" i="522"/>
  <c r="A228" i="541"/>
  <c r="A229" i="541"/>
  <c r="A221" i="541"/>
  <c r="A222" i="541"/>
  <c r="A223" i="541"/>
  <c r="A224" i="541"/>
  <c r="A225" i="541"/>
  <c r="A226" i="541"/>
  <c r="A227" i="541"/>
  <c r="BY198" i="522"/>
  <c r="BS198" i="522"/>
  <c r="BN198" i="522"/>
  <c r="BK198" i="522"/>
  <c r="BH198" i="522"/>
  <c r="BE198" i="522"/>
  <c r="BB198" i="522"/>
  <c r="AY198" i="522"/>
  <c r="AR198" i="522"/>
  <c r="AQ198" i="522"/>
  <c r="A219" i="541"/>
  <c r="A220" i="541"/>
  <c r="A212" i="541"/>
  <c r="A213" i="541"/>
  <c r="A214" i="541"/>
  <c r="A215" i="541"/>
  <c r="A216" i="541"/>
  <c r="A217" i="541"/>
  <c r="A218" i="541"/>
  <c r="BY192" i="522"/>
  <c r="BS192" i="522"/>
  <c r="BN192" i="522"/>
  <c r="BK192" i="522"/>
  <c r="BH192" i="522"/>
  <c r="BE192" i="522"/>
  <c r="BB192" i="522"/>
  <c r="AY192" i="522"/>
  <c r="AR192" i="522"/>
  <c r="AQ192" i="522"/>
  <c r="A210" i="541"/>
  <c r="A211" i="541"/>
  <c r="A203" i="541"/>
  <c r="A204" i="541"/>
  <c r="A205" i="541"/>
  <c r="A206" i="541"/>
  <c r="A207" i="541"/>
  <c r="A208" i="541"/>
  <c r="A209" i="541"/>
  <c r="BY186" i="522"/>
  <c r="BS186" i="522"/>
  <c r="BN186" i="522"/>
  <c r="BK186" i="522"/>
  <c r="BH186" i="522"/>
  <c r="BE186" i="522"/>
  <c r="BB186" i="522"/>
  <c r="AY186" i="522"/>
  <c r="AR186" i="522"/>
  <c r="AQ186" i="522"/>
  <c r="A201" i="541"/>
  <c r="A202" i="541"/>
  <c r="A194" i="541"/>
  <c r="A195" i="541"/>
  <c r="A196" i="541"/>
  <c r="A197" i="541"/>
  <c r="A198" i="541"/>
  <c r="A199" i="541"/>
  <c r="A200" i="541"/>
  <c r="BY180" i="522"/>
  <c r="BS180" i="522"/>
  <c r="BN180" i="522"/>
  <c r="BK180" i="522"/>
  <c r="BH180" i="522"/>
  <c r="BE180" i="522"/>
  <c r="BB180" i="522"/>
  <c r="AY180" i="522"/>
  <c r="AR180" i="522"/>
  <c r="AQ180" i="522"/>
  <c r="A192" i="541"/>
  <c r="A193" i="541"/>
  <c r="A185" i="541"/>
  <c r="A186" i="541"/>
  <c r="A187" i="541"/>
  <c r="A188" i="541"/>
  <c r="A189" i="541"/>
  <c r="A190" i="541"/>
  <c r="A191" i="541"/>
  <c r="BY174" i="522"/>
  <c r="BS174" i="522"/>
  <c r="BN174" i="522"/>
  <c r="BK174" i="522"/>
  <c r="BH174" i="522"/>
  <c r="BE174" i="522"/>
  <c r="BB174" i="522"/>
  <c r="AY174" i="522"/>
  <c r="AR174" i="522"/>
  <c r="AQ174" i="522"/>
  <c r="A183" i="541"/>
  <c r="A184" i="541"/>
  <c r="A176" i="541"/>
  <c r="A177" i="541"/>
  <c r="A178" i="541"/>
  <c r="A179" i="541"/>
  <c r="A180" i="541"/>
  <c r="A181" i="541"/>
  <c r="A182" i="541"/>
  <c r="BY168" i="522"/>
  <c r="BS168" i="522"/>
  <c r="BN168" i="522"/>
  <c r="BK168" i="522"/>
  <c r="BH168" i="522"/>
  <c r="BE168" i="522"/>
  <c r="BB168" i="522"/>
  <c r="AY168" i="522"/>
  <c r="AR168" i="522"/>
  <c r="AQ168" i="522"/>
  <c r="A174" i="541"/>
  <c r="A175" i="541"/>
  <c r="A167" i="541"/>
  <c r="A168" i="541"/>
  <c r="A169" i="541"/>
  <c r="A170" i="541"/>
  <c r="A171" i="541"/>
  <c r="A172" i="541"/>
  <c r="A173" i="541"/>
  <c r="BY162" i="522"/>
  <c r="BS162" i="522"/>
  <c r="BN162" i="522"/>
  <c r="BK162" i="522"/>
  <c r="BH162" i="522"/>
  <c r="BE162" i="522"/>
  <c r="BB162" i="522"/>
  <c r="AY162" i="522"/>
  <c r="AR162" i="522"/>
  <c r="AQ162" i="522"/>
  <c r="AZ150" i="522"/>
  <c r="AQ150" i="522" s="1"/>
  <c r="AS150" i="522" s="1"/>
  <c r="AW148" i="522"/>
  <c r="AY148" i="522" s="1"/>
  <c r="AZ142" i="522"/>
  <c r="AW140" i="522"/>
  <c r="BC134" i="522"/>
  <c r="AZ128" i="522"/>
  <c r="AQ128" i="522" s="1"/>
  <c r="AW126" i="522"/>
  <c r="AQ126" i="522" s="1"/>
  <c r="AZ120" i="522"/>
  <c r="AW120" i="522"/>
  <c r="AQ120" i="522" s="1"/>
  <c r="AZ114" i="522"/>
  <c r="AZ108" i="522"/>
  <c r="BB108" i="522" s="1"/>
  <c r="BC102" i="522"/>
  <c r="AW102" i="522"/>
  <c r="AZ96" i="522"/>
  <c r="AW96" i="522"/>
  <c r="AY96" i="522" s="1"/>
  <c r="BC90" i="522"/>
  <c r="BE90" i="522" s="1"/>
  <c r="AW84" i="522"/>
  <c r="AY84" i="522" s="1"/>
  <c r="BC78" i="522"/>
  <c r="AW72" i="522"/>
  <c r="AY72" i="522" s="1"/>
  <c r="AW66" i="522"/>
  <c r="AY66" i="522" s="1"/>
  <c r="BC60" i="522"/>
  <c r="BE60" i="522" s="1"/>
  <c r="AZ60" i="522"/>
  <c r="BC54" i="522"/>
  <c r="BE54" i="522" s="1"/>
  <c r="AZ54" i="522"/>
  <c r="A166" i="541"/>
  <c r="BY150" i="522"/>
  <c r="BS150" i="522"/>
  <c r="BN150" i="522"/>
  <c r="BK150" i="522"/>
  <c r="BH150" i="522"/>
  <c r="BE150" i="522"/>
  <c r="AY150" i="522"/>
  <c r="AR150" i="522"/>
  <c r="A165" i="541"/>
  <c r="BY149" i="522"/>
  <c r="BS149" i="522"/>
  <c r="BN149" i="522"/>
  <c r="BK149" i="522"/>
  <c r="BH149" i="522"/>
  <c r="BE149" i="522"/>
  <c r="BB149" i="522"/>
  <c r="AY149" i="522"/>
  <c r="AR149" i="522"/>
  <c r="AQ149" i="522"/>
  <c r="A164" i="541"/>
  <c r="BY148" i="522"/>
  <c r="BS148" i="522"/>
  <c r="BN148" i="522"/>
  <c r="BK148" i="522"/>
  <c r="BH148" i="522"/>
  <c r="BE148" i="522"/>
  <c r="BB148" i="522"/>
  <c r="AR148" i="522"/>
  <c r="AQ148" i="522"/>
  <c r="A163" i="541"/>
  <c r="BY128" i="522"/>
  <c r="BS128" i="522"/>
  <c r="BN128" i="522"/>
  <c r="BK128" i="522"/>
  <c r="BH128" i="522"/>
  <c r="BE128" i="522"/>
  <c r="BB128" i="522"/>
  <c r="AY128" i="522"/>
  <c r="AR128" i="522"/>
  <c r="A162" i="541"/>
  <c r="BY127" i="522"/>
  <c r="BS127" i="522"/>
  <c r="BN127" i="522"/>
  <c r="BK127" i="522"/>
  <c r="BH127" i="522"/>
  <c r="BE127" i="522"/>
  <c r="BB127" i="522"/>
  <c r="AY127" i="522"/>
  <c r="AR127" i="522"/>
  <c r="AQ127" i="522"/>
  <c r="A160" i="541"/>
  <c r="A161" i="541"/>
  <c r="A153" i="541"/>
  <c r="A154" i="541"/>
  <c r="A155" i="541"/>
  <c r="A156" i="541"/>
  <c r="A157" i="541"/>
  <c r="A158" i="541"/>
  <c r="A159" i="541"/>
  <c r="BY147" i="522"/>
  <c r="BS147" i="522"/>
  <c r="BN147" i="522"/>
  <c r="BK147" i="522"/>
  <c r="BH147" i="522"/>
  <c r="BE147" i="522"/>
  <c r="BB147" i="522"/>
  <c r="AY147" i="522"/>
  <c r="AR147" i="522"/>
  <c r="AQ147" i="522"/>
  <c r="A152" i="541"/>
  <c r="BY54" i="522"/>
  <c r="BS54" i="522"/>
  <c r="BN54" i="522"/>
  <c r="BK54" i="522"/>
  <c r="BH54" i="522"/>
  <c r="BB54" i="522"/>
  <c r="AY54" i="522"/>
  <c r="AR54" i="522"/>
  <c r="A151" i="541"/>
  <c r="BY60" i="522"/>
  <c r="BS60" i="522"/>
  <c r="BN60" i="522"/>
  <c r="BK60" i="522"/>
  <c r="BH60" i="522"/>
  <c r="BB60" i="522"/>
  <c r="AY60" i="522"/>
  <c r="AR60" i="522"/>
  <c r="A150" i="541"/>
  <c r="BY66" i="522"/>
  <c r="BS66" i="522"/>
  <c r="BN66" i="522"/>
  <c r="BK66" i="522"/>
  <c r="BH66" i="522"/>
  <c r="BE66" i="522"/>
  <c r="BB66" i="522"/>
  <c r="AR66" i="522"/>
  <c r="AQ66" i="522"/>
  <c r="A149" i="541"/>
  <c r="BY72" i="522"/>
  <c r="BS72" i="522"/>
  <c r="BN72" i="522"/>
  <c r="BK72" i="522"/>
  <c r="BH72" i="522"/>
  <c r="BE72" i="522"/>
  <c r="BB72" i="522"/>
  <c r="AR72" i="522"/>
  <c r="AQ72" i="522"/>
  <c r="A148" i="541"/>
  <c r="BY78" i="522"/>
  <c r="BS78" i="522"/>
  <c r="BN78" i="522"/>
  <c r="BK78" i="522"/>
  <c r="BH78" i="522"/>
  <c r="BE78" i="522"/>
  <c r="BB78" i="522"/>
  <c r="AY78" i="522"/>
  <c r="AR78" i="522"/>
  <c r="AQ78" i="522"/>
  <c r="A147" i="541"/>
  <c r="BY84" i="522"/>
  <c r="BS84" i="522"/>
  <c r="BN84" i="522"/>
  <c r="BK84" i="522"/>
  <c r="BH84" i="522"/>
  <c r="BE84" i="522"/>
  <c r="BB84" i="522"/>
  <c r="AR84" i="522"/>
  <c r="A146" i="541"/>
  <c r="BY90" i="522"/>
  <c r="BS90" i="522"/>
  <c r="BN90" i="522"/>
  <c r="BK90" i="522"/>
  <c r="BH90" i="522"/>
  <c r="BB90" i="522"/>
  <c r="AY90" i="522"/>
  <c r="AR90" i="522"/>
  <c r="AQ90" i="522"/>
  <c r="A145" i="541"/>
  <c r="BY96" i="522"/>
  <c r="BS96" i="522"/>
  <c r="BN96" i="522"/>
  <c r="BK96" i="522"/>
  <c r="BH96" i="522"/>
  <c r="BE96" i="522"/>
  <c r="BB96" i="522"/>
  <c r="AR96" i="522"/>
  <c r="A144" i="541"/>
  <c r="BY102" i="522"/>
  <c r="BS102" i="522"/>
  <c r="BN102" i="522"/>
  <c r="BK102" i="522"/>
  <c r="BH102" i="522"/>
  <c r="BE102" i="522"/>
  <c r="BB102" i="522"/>
  <c r="AY102" i="522"/>
  <c r="AR102" i="522"/>
  <c r="AQ102" i="522"/>
  <c r="A143" i="541"/>
  <c r="BY108" i="522"/>
  <c r="BS108" i="522"/>
  <c r="BN108" i="522"/>
  <c r="BK108" i="522"/>
  <c r="BH108" i="522"/>
  <c r="BE108" i="522"/>
  <c r="AY108" i="522"/>
  <c r="AR108" i="522"/>
  <c r="AQ108" i="522"/>
  <c r="A142" i="541"/>
  <c r="BY114" i="522"/>
  <c r="BS114" i="522"/>
  <c r="BN114" i="522"/>
  <c r="BK114" i="522"/>
  <c r="BH114" i="522"/>
  <c r="BE114" i="522"/>
  <c r="BB114" i="522"/>
  <c r="AY114" i="522"/>
  <c r="AR114" i="522"/>
  <c r="AQ114" i="522"/>
  <c r="A141" i="541"/>
  <c r="BY120" i="522"/>
  <c r="BS120" i="522"/>
  <c r="BN120" i="522"/>
  <c r="BK120" i="522"/>
  <c r="BH120" i="522"/>
  <c r="BE120" i="522"/>
  <c r="BB120" i="522"/>
  <c r="AR120" i="522"/>
  <c r="A140" i="541"/>
  <c r="BY126" i="522"/>
  <c r="BS126" i="522"/>
  <c r="BN126" i="522"/>
  <c r="BK126" i="522"/>
  <c r="BH126" i="522"/>
  <c r="BE126" i="522"/>
  <c r="BB126" i="522"/>
  <c r="AR126" i="522"/>
  <c r="A139" i="541"/>
  <c r="BY134" i="522"/>
  <c r="BS134" i="522"/>
  <c r="BN134" i="522"/>
  <c r="BK134" i="522"/>
  <c r="BH134" i="522"/>
  <c r="BE134" i="522"/>
  <c r="BB134" i="522"/>
  <c r="AY134" i="522"/>
  <c r="AR134" i="522"/>
  <c r="AQ134" i="522"/>
  <c r="A138" i="541"/>
  <c r="BY142" i="522"/>
  <c r="BS142" i="522"/>
  <c r="BN142" i="522"/>
  <c r="BK142" i="522"/>
  <c r="BH142" i="522"/>
  <c r="BE142" i="522"/>
  <c r="BB142" i="522"/>
  <c r="AY142" i="522"/>
  <c r="AR142" i="522"/>
  <c r="AQ142" i="522"/>
  <c r="A137" i="541"/>
  <c r="BY141" i="522"/>
  <c r="BS141" i="522"/>
  <c r="BN141" i="522"/>
  <c r="BK141" i="522"/>
  <c r="BH141" i="522"/>
  <c r="BE141" i="522"/>
  <c r="BB141" i="522"/>
  <c r="AY141" i="522"/>
  <c r="AR141" i="522"/>
  <c r="AQ141" i="522"/>
  <c r="A136" i="541"/>
  <c r="BY140" i="522"/>
  <c r="BS140" i="522"/>
  <c r="BN140" i="522"/>
  <c r="BK140" i="522"/>
  <c r="BH140" i="522"/>
  <c r="BE140" i="522"/>
  <c r="BB140" i="522"/>
  <c r="AY140" i="522"/>
  <c r="AR140" i="522"/>
  <c r="AQ140" i="522"/>
  <c r="A134" i="541"/>
  <c r="A135" i="541"/>
  <c r="A127" i="541"/>
  <c r="A128" i="541"/>
  <c r="A129" i="541"/>
  <c r="A130" i="541"/>
  <c r="A131" i="541"/>
  <c r="A132" i="541"/>
  <c r="A133" i="541"/>
  <c r="BY139" i="522"/>
  <c r="BS139" i="522"/>
  <c r="BN139" i="522"/>
  <c r="BK139" i="522"/>
  <c r="BH139" i="522"/>
  <c r="BE139" i="522"/>
  <c r="BB139" i="522"/>
  <c r="AY139" i="522"/>
  <c r="AR139" i="522"/>
  <c r="AQ139" i="522"/>
  <c r="A125" i="541"/>
  <c r="A126" i="541"/>
  <c r="A118" i="541"/>
  <c r="A119" i="541"/>
  <c r="A120" i="541"/>
  <c r="A121" i="541"/>
  <c r="A122" i="541"/>
  <c r="A123" i="541"/>
  <c r="A124" i="541"/>
  <c r="BY133" i="522"/>
  <c r="BS133" i="522"/>
  <c r="BN133" i="522"/>
  <c r="BK133" i="522"/>
  <c r="BH133" i="522"/>
  <c r="BE133" i="522"/>
  <c r="BB133" i="522"/>
  <c r="AY133" i="522"/>
  <c r="AR133" i="522"/>
  <c r="AQ133" i="522"/>
  <c r="A116" i="541"/>
  <c r="A117" i="541"/>
  <c r="A109" i="541"/>
  <c r="A110" i="541"/>
  <c r="A111" i="541"/>
  <c r="A112" i="541"/>
  <c r="A113" i="541"/>
  <c r="A114" i="541"/>
  <c r="A115" i="541"/>
  <c r="BY125" i="522"/>
  <c r="BS125" i="522"/>
  <c r="BN125" i="522"/>
  <c r="BK125" i="522"/>
  <c r="BH125" i="522"/>
  <c r="BE125" i="522"/>
  <c r="BB125" i="522"/>
  <c r="AY125" i="522"/>
  <c r="AR125" i="522"/>
  <c r="AQ125" i="522"/>
  <c r="A107" i="541"/>
  <c r="A108" i="541"/>
  <c r="A100" i="541"/>
  <c r="A101" i="541"/>
  <c r="A102" i="541"/>
  <c r="A103" i="541"/>
  <c r="A104" i="541"/>
  <c r="A105" i="541"/>
  <c r="A106" i="541"/>
  <c r="BY119" i="522"/>
  <c r="BS119" i="522"/>
  <c r="BN119" i="522"/>
  <c r="BK119" i="522"/>
  <c r="BH119" i="522"/>
  <c r="BE119" i="522"/>
  <c r="BB119" i="522"/>
  <c r="AY119" i="522"/>
  <c r="AR119" i="522"/>
  <c r="AQ119" i="522"/>
  <c r="A98" i="541"/>
  <c r="A99" i="541"/>
  <c r="A91" i="541"/>
  <c r="A92" i="541"/>
  <c r="A93" i="541"/>
  <c r="A94" i="541"/>
  <c r="A95" i="541"/>
  <c r="A96" i="541"/>
  <c r="A97" i="541"/>
  <c r="BY113" i="522"/>
  <c r="BS113" i="522"/>
  <c r="BN113" i="522"/>
  <c r="BK113" i="522"/>
  <c r="BH113" i="522"/>
  <c r="BE113" i="522"/>
  <c r="BB113" i="522"/>
  <c r="AY113" i="522"/>
  <c r="AR113" i="522"/>
  <c r="AQ113" i="522"/>
  <c r="A89" i="541"/>
  <c r="A90" i="541"/>
  <c r="A82" i="541"/>
  <c r="A83" i="541"/>
  <c r="A84" i="541"/>
  <c r="A85" i="541"/>
  <c r="A86" i="541"/>
  <c r="A87" i="541"/>
  <c r="A88" i="541"/>
  <c r="BY107" i="522"/>
  <c r="BS107" i="522"/>
  <c r="BN107" i="522"/>
  <c r="BK107" i="522"/>
  <c r="BH107" i="522"/>
  <c r="BE107" i="522"/>
  <c r="BB107" i="522"/>
  <c r="AY107" i="522"/>
  <c r="AR107" i="522"/>
  <c r="AQ107" i="522"/>
  <c r="A80" i="541"/>
  <c r="A81" i="541"/>
  <c r="A73" i="541"/>
  <c r="A74" i="541"/>
  <c r="A75" i="541"/>
  <c r="A76" i="541"/>
  <c r="A77" i="541"/>
  <c r="A78" i="541"/>
  <c r="A79" i="541"/>
  <c r="BY101" i="522"/>
  <c r="BS101" i="522"/>
  <c r="BN101" i="522"/>
  <c r="BK101" i="522"/>
  <c r="BH101" i="522"/>
  <c r="BE101" i="522"/>
  <c r="BB101" i="522"/>
  <c r="AY101" i="522"/>
  <c r="AR101" i="522"/>
  <c r="AQ101" i="522"/>
  <c r="A71" i="541"/>
  <c r="A72" i="541"/>
  <c r="A64" i="541"/>
  <c r="A65" i="541"/>
  <c r="A66" i="541"/>
  <c r="A67" i="541"/>
  <c r="A68" i="541"/>
  <c r="A69" i="541"/>
  <c r="A70" i="541"/>
  <c r="BY95" i="522"/>
  <c r="BS95" i="522"/>
  <c r="BN95" i="522"/>
  <c r="BK95" i="522"/>
  <c r="BH95" i="522"/>
  <c r="BE95" i="522"/>
  <c r="BB95" i="522"/>
  <c r="AY95" i="522"/>
  <c r="AR95" i="522"/>
  <c r="AQ95" i="522"/>
  <c r="AS95" i="522" s="1"/>
  <c r="A62" i="541"/>
  <c r="A63" i="541"/>
  <c r="A55" i="541"/>
  <c r="A56" i="541"/>
  <c r="A57" i="541"/>
  <c r="A58" i="541"/>
  <c r="A59" i="541"/>
  <c r="A60" i="541"/>
  <c r="A61" i="541"/>
  <c r="BY89" i="522"/>
  <c r="BS89" i="522"/>
  <c r="BN89" i="522"/>
  <c r="BK89" i="522"/>
  <c r="BH89" i="522"/>
  <c r="BE89" i="522"/>
  <c r="BB89" i="522"/>
  <c r="AY89" i="522"/>
  <c r="AR89" i="522"/>
  <c r="AQ89" i="522"/>
  <c r="A53" i="541"/>
  <c r="A54" i="541"/>
  <c r="A46" i="541"/>
  <c r="A47" i="541"/>
  <c r="A48" i="541"/>
  <c r="A49" i="541"/>
  <c r="A50" i="541"/>
  <c r="A51" i="541"/>
  <c r="A52" i="541"/>
  <c r="BY83" i="522"/>
  <c r="BS83" i="522"/>
  <c r="BN83" i="522"/>
  <c r="BK83" i="522"/>
  <c r="BH83" i="522"/>
  <c r="BE83" i="522"/>
  <c r="BB83" i="522"/>
  <c r="AY83" i="522"/>
  <c r="AR83" i="522"/>
  <c r="AQ83" i="522"/>
  <c r="A44" i="541"/>
  <c r="A45" i="541"/>
  <c r="A37" i="541"/>
  <c r="A38" i="541"/>
  <c r="A39" i="541"/>
  <c r="A40" i="541"/>
  <c r="A41" i="541"/>
  <c r="A42" i="541"/>
  <c r="A43" i="541"/>
  <c r="BY77" i="522"/>
  <c r="BS77" i="522"/>
  <c r="BN77" i="522"/>
  <c r="BK77" i="522"/>
  <c r="BH77" i="522"/>
  <c r="BE77" i="522"/>
  <c r="BB77" i="522"/>
  <c r="AY77" i="522"/>
  <c r="AR77" i="522"/>
  <c r="AQ77" i="522"/>
  <c r="A35" i="541"/>
  <c r="A36" i="541"/>
  <c r="A28" i="541"/>
  <c r="A29" i="541"/>
  <c r="A30" i="541"/>
  <c r="A31" i="541"/>
  <c r="A32" i="541"/>
  <c r="A33" i="541"/>
  <c r="A34" i="541"/>
  <c r="BY71" i="522"/>
  <c r="BS71" i="522"/>
  <c r="BN71" i="522"/>
  <c r="BK71" i="522"/>
  <c r="BH71" i="522"/>
  <c r="BE71" i="522"/>
  <c r="BB71" i="522"/>
  <c r="AY71" i="522"/>
  <c r="AR71" i="522"/>
  <c r="AQ71" i="522"/>
  <c r="A26" i="541"/>
  <c r="A27" i="541"/>
  <c r="A19" i="541"/>
  <c r="A20" i="541"/>
  <c r="A21" i="541"/>
  <c r="A22" i="541"/>
  <c r="A23" i="541"/>
  <c r="A24" i="541"/>
  <c r="A25" i="541"/>
  <c r="BY65" i="522"/>
  <c r="BS65" i="522"/>
  <c r="BN65" i="522"/>
  <c r="BK65" i="522"/>
  <c r="BH65" i="522"/>
  <c r="BE65" i="522"/>
  <c r="BB65" i="522"/>
  <c r="AY65" i="522"/>
  <c r="AR65" i="522"/>
  <c r="AQ65" i="522"/>
  <c r="A17" i="541"/>
  <c r="A18" i="541"/>
  <c r="A10" i="541"/>
  <c r="A11" i="541"/>
  <c r="A12" i="541"/>
  <c r="A13" i="541"/>
  <c r="A14" i="541"/>
  <c r="A15" i="541"/>
  <c r="A16" i="541"/>
  <c r="BY59" i="522"/>
  <c r="BS59" i="522"/>
  <c r="BN59" i="522"/>
  <c r="BK59" i="522"/>
  <c r="BH59" i="522"/>
  <c r="BE59" i="522"/>
  <c r="BB59" i="522"/>
  <c r="AY59" i="522"/>
  <c r="AR59" i="522"/>
  <c r="AQ59" i="522"/>
  <c r="A8" i="541"/>
  <c r="A9" i="541"/>
  <c r="A1" i="541"/>
  <c r="A2" i="541"/>
  <c r="A3" i="541"/>
  <c r="A4" i="541"/>
  <c r="A5" i="541"/>
  <c r="A6" i="541"/>
  <c r="A7" i="541"/>
  <c r="BY53" i="522"/>
  <c r="BS53" i="522"/>
  <c r="BN53" i="522"/>
  <c r="BK53" i="522"/>
  <c r="BH53" i="522"/>
  <c r="BE53" i="522"/>
  <c r="BB53" i="522"/>
  <c r="AY53" i="522"/>
  <c r="AR53" i="522"/>
  <c r="AQ53" i="522"/>
  <c r="H9" i="537"/>
  <c r="AQ4" i="522"/>
  <c r="AS307" i="522" l="1"/>
  <c r="BB205" i="522"/>
  <c r="AS348" i="522"/>
  <c r="AS396" i="522"/>
  <c r="AY259" i="522"/>
  <c r="AS264" i="522"/>
  <c r="AS324" i="522"/>
  <c r="AQ319" i="522"/>
  <c r="AS319" i="522" s="1"/>
  <c r="AS343" i="522"/>
  <c r="AS403" i="522"/>
  <c r="AY120" i="522"/>
  <c r="AQ229" i="522"/>
  <c r="AQ96" i="522"/>
  <c r="AS96" i="522" s="1"/>
  <c r="AS420" i="522"/>
  <c r="AQ235" i="522"/>
  <c r="AS235" i="522" s="1"/>
  <c r="AS282" i="522"/>
  <c r="AS83" i="522"/>
  <c r="AS360" i="522"/>
  <c r="AS409" i="522"/>
  <c r="BB427" i="522"/>
  <c r="AS457" i="522"/>
  <c r="AS450" i="522"/>
  <c r="AS444" i="522"/>
  <c r="AS439" i="522"/>
  <c r="AS438" i="522"/>
  <c r="AS433" i="522"/>
  <c r="AS426" i="522"/>
  <c r="AS427" i="522"/>
  <c r="AS421" i="522"/>
  <c r="AS414" i="522"/>
  <c r="AS415" i="522"/>
  <c r="AS408" i="522"/>
  <c r="AS402" i="522"/>
  <c r="AS397" i="522"/>
  <c r="AS390" i="522"/>
  <c r="AS391" i="522"/>
  <c r="AS378" i="522"/>
  <c r="AS379" i="522"/>
  <c r="AS373" i="522"/>
  <c r="AS372" i="522"/>
  <c r="AS366" i="522"/>
  <c r="AS367" i="522"/>
  <c r="AS354" i="522"/>
  <c r="AS355" i="522"/>
  <c r="AS342" i="522"/>
  <c r="AS337" i="522"/>
  <c r="AS336" i="522"/>
  <c r="AS331" i="522"/>
  <c r="AS325" i="522"/>
  <c r="AY307" i="522"/>
  <c r="AS306" i="522"/>
  <c r="AS301" i="522"/>
  <c r="AS300" i="522"/>
  <c r="AS294" i="522"/>
  <c r="AS295" i="522"/>
  <c r="AS289" i="522"/>
  <c r="AS288" i="522"/>
  <c r="AS283" i="522"/>
  <c r="AS276" i="522"/>
  <c r="AS271" i="522"/>
  <c r="AS270" i="522"/>
  <c r="AQ265" i="522"/>
  <c r="AS265" i="522"/>
  <c r="AS259" i="522"/>
  <c r="AS258" i="522"/>
  <c r="AQ253" i="522"/>
  <c r="AS253" i="522" s="1"/>
  <c r="AS247" i="522"/>
  <c r="BB241" i="522"/>
  <c r="AY217" i="522"/>
  <c r="AQ211" i="522"/>
  <c r="AS211" i="522"/>
  <c r="BB181" i="522"/>
  <c r="AQ175" i="522"/>
  <c r="AS175" i="522" s="1"/>
  <c r="AY169" i="522"/>
  <c r="BB163" i="522"/>
  <c r="AS163" i="522"/>
  <c r="BB150" i="522"/>
  <c r="AS192" i="522"/>
  <c r="AS205" i="522"/>
  <c r="AS234" i="522"/>
  <c r="AS229" i="522"/>
  <c r="AS120" i="522"/>
  <c r="AQ60" i="522"/>
  <c r="AS198" i="522"/>
  <c r="AS169" i="522"/>
  <c r="AS187" i="522"/>
  <c r="AS252" i="522"/>
  <c r="AS168" i="522"/>
  <c r="AS222" i="522"/>
  <c r="AS240" i="522"/>
  <c r="AS217" i="522"/>
  <c r="AS77" i="522"/>
  <c r="AS162" i="522"/>
  <c r="AS186" i="522"/>
  <c r="AS216" i="522"/>
  <c r="AS199" i="522"/>
  <c r="AS180" i="522"/>
  <c r="AS204" i="522"/>
  <c r="AS210" i="522"/>
  <c r="AS193" i="522"/>
  <c r="AS174" i="522"/>
  <c r="AS246" i="522"/>
  <c r="AS223" i="522"/>
  <c r="AS241" i="522"/>
  <c r="AS149" i="522"/>
  <c r="AS148" i="522"/>
  <c r="AS127" i="522"/>
  <c r="AS128" i="522"/>
  <c r="AY126" i="522"/>
  <c r="AS101" i="522"/>
  <c r="AQ84" i="522"/>
  <c r="AS84" i="522" s="1"/>
  <c r="AQ54" i="522"/>
  <c r="AS54" i="522" s="1"/>
  <c r="AS53" i="522"/>
  <c r="AS147" i="522"/>
  <c r="AS107" i="522"/>
  <c r="AS133" i="522"/>
  <c r="AS90" i="522"/>
  <c r="AS141" i="522"/>
  <c r="AS142" i="522"/>
  <c r="AS102" i="522"/>
  <c r="AS78" i="522"/>
  <c r="AS59" i="522"/>
  <c r="AS113" i="522"/>
  <c r="AS139" i="522"/>
  <c r="AS134" i="522"/>
  <c r="AS114" i="522"/>
  <c r="AS72" i="522"/>
  <c r="AS66" i="522"/>
  <c r="AS71" i="522"/>
  <c r="AS125" i="522"/>
  <c r="AS65" i="522"/>
  <c r="AS89" i="522"/>
  <c r="AS119" i="522"/>
  <c r="AS140" i="522"/>
  <c r="AS126" i="522"/>
  <c r="AS108" i="522"/>
  <c r="AS60" i="522"/>
  <c r="AQ35" i="527" l="1"/>
  <c r="AQ30" i="527"/>
  <c r="AQ16" i="527"/>
  <c r="AQ14" i="527"/>
  <c r="AQ11" i="527"/>
  <c r="AQ6" i="527"/>
  <c r="AU835" i="522" l="1"/>
  <c r="AU158" i="522"/>
  <c r="AU49" i="522"/>
  <c r="AU13" i="522"/>
  <c r="AU26" i="522"/>
  <c r="AU25" i="522"/>
  <c r="AU23" i="522"/>
  <c r="AU22" i="522"/>
  <c r="AU21" i="522"/>
  <c r="AU19" i="522"/>
  <c r="AU18" i="522"/>
  <c r="AU17" i="522"/>
  <c r="AU15" i="522"/>
  <c r="AU14" i="522"/>
  <c r="AU12" i="522"/>
  <c r="B2" i="518"/>
  <c r="B3" i="518"/>
  <c r="AU24" i="522" l="1"/>
  <c r="AU20" i="522"/>
  <c r="AU11" i="522"/>
  <c r="AU16" i="522"/>
  <c r="BY16" i="527"/>
  <c r="AU10" i="522" l="1"/>
  <c r="BS16" i="527"/>
  <c r="BN16" i="527"/>
  <c r="BK16" i="527"/>
  <c r="BH16" i="527"/>
  <c r="BE16" i="527"/>
  <c r="BB16" i="527"/>
  <c r="AY16" i="527"/>
  <c r="AR16" i="527"/>
  <c r="AS16" i="527"/>
  <c r="E51" i="521"/>
  <c r="AD4" i="522"/>
  <c r="AD3" i="522"/>
  <c r="BY35" i="527"/>
  <c r="BS35" i="527"/>
  <c r="BN35" i="527"/>
  <c r="BK35" i="527"/>
  <c r="BH35" i="527"/>
  <c r="BE35" i="527"/>
  <c r="BB35" i="527"/>
  <c r="AY35" i="527"/>
  <c r="AR35" i="527"/>
  <c r="AS35" i="527" s="1"/>
  <c r="BN30" i="527"/>
  <c r="BK30" i="527"/>
  <c r="BH30" i="527"/>
  <c r="BE30" i="527"/>
  <c r="BB30" i="527"/>
  <c r="AY30" i="527"/>
  <c r="AR30" i="527"/>
  <c r="AS30" i="527" s="1"/>
  <c r="BY30" i="527"/>
  <c r="BS30" i="527"/>
  <c r="H20" i="527"/>
  <c r="AV23" i="527"/>
  <c r="AT835" i="522"/>
  <c r="AT158" i="522"/>
  <c r="AT49" i="522"/>
  <c r="AV49" i="522"/>
  <c r="AV158" i="522"/>
  <c r="AV835" i="522"/>
  <c r="AV833" i="522"/>
  <c r="AV156" i="522"/>
  <c r="AV47" i="522"/>
  <c r="AV7" i="522"/>
  <c r="BY44" i="522"/>
  <c r="BC44" i="522" s="1"/>
  <c r="BY43" i="522"/>
  <c r="AU43" i="522" s="1"/>
  <c r="BY41" i="522"/>
  <c r="AT41" i="522" s="1"/>
  <c r="BY40" i="522"/>
  <c r="AU40" i="522" s="1"/>
  <c r="BY39" i="522"/>
  <c r="BC39" i="522" s="1"/>
  <c r="BY37" i="522"/>
  <c r="AU37" i="522" s="1"/>
  <c r="BY36" i="522"/>
  <c r="BM36" i="522" s="1"/>
  <c r="BY35" i="522"/>
  <c r="AU35" i="522" s="1"/>
  <c r="BY33" i="522"/>
  <c r="BC33" i="522" s="1"/>
  <c r="BY32" i="522"/>
  <c r="AU32" i="522" s="1"/>
  <c r="BY31" i="522"/>
  <c r="BG31" i="522" s="1"/>
  <c r="BY30" i="522"/>
  <c r="AU30" i="522" s="1"/>
  <c r="BY14" i="527"/>
  <c r="BY11" i="527"/>
  <c r="BY6" i="527"/>
  <c r="BM30" i="522"/>
  <c r="AX35" i="522"/>
  <c r="BJ35" i="522"/>
  <c r="AZ43" i="522"/>
  <c r="BF43" i="522"/>
  <c r="BL43" i="522"/>
  <c r="AW30" i="522"/>
  <c r="BF35" i="522"/>
  <c r="BA37" i="522"/>
  <c r="BM37" i="522"/>
  <c r="AT43" i="522"/>
  <c r="BA43" i="522"/>
  <c r="BG43" i="522"/>
  <c r="BM43" i="522"/>
  <c r="AW43" i="522"/>
  <c r="BC43" i="522"/>
  <c r="BI43" i="522"/>
  <c r="BA32" i="522"/>
  <c r="BM32" i="522"/>
  <c r="AT35" i="522"/>
  <c r="BG35" i="522"/>
  <c r="BM35" i="522"/>
  <c r="AW37" i="522"/>
  <c r="BC37" i="522"/>
  <c r="BI37" i="522"/>
  <c r="AZ30" i="522"/>
  <c r="AW32" i="522"/>
  <c r="BI32" i="522"/>
  <c r="BA33" i="522"/>
  <c r="AW35" i="522"/>
  <c r="BC35" i="522"/>
  <c r="BI35" i="522"/>
  <c r="AX37" i="522"/>
  <c r="BD37" i="522"/>
  <c r="BJ37" i="522"/>
  <c r="AT40" i="522"/>
  <c r="BA40" i="522"/>
  <c r="AX43" i="522"/>
  <c r="BD43" i="522"/>
  <c r="BJ43" i="522"/>
  <c r="AT44" i="522"/>
  <c r="AT42" i="522" s="1"/>
  <c r="BN833" i="522"/>
  <c r="BM833" i="522"/>
  <c r="BL833" i="522"/>
  <c r="BK833" i="522"/>
  <c r="BJ833" i="522"/>
  <c r="BI833" i="522"/>
  <c r="BH833" i="522"/>
  <c r="BG833" i="522"/>
  <c r="BF833" i="522"/>
  <c r="BE833" i="522"/>
  <c r="BD833" i="522"/>
  <c r="BC833" i="522"/>
  <c r="BB833" i="522"/>
  <c r="BA833" i="522"/>
  <c r="AZ833" i="522"/>
  <c r="AY833" i="522"/>
  <c r="AX833" i="522"/>
  <c r="AW833" i="522"/>
  <c r="BN156" i="522"/>
  <c r="BM156" i="522"/>
  <c r="BL156" i="522"/>
  <c r="BK156" i="522"/>
  <c r="BJ156" i="522"/>
  <c r="BI156" i="522"/>
  <c r="BH156" i="522"/>
  <c r="BG156" i="522"/>
  <c r="BF156" i="522"/>
  <c r="BE156" i="522"/>
  <c r="BD156" i="522"/>
  <c r="BC156" i="522"/>
  <c r="BB156" i="522"/>
  <c r="BA156" i="522"/>
  <c r="AZ156" i="522"/>
  <c r="AY156" i="522"/>
  <c r="AX156" i="522"/>
  <c r="AW156" i="522"/>
  <c r="BN47" i="522"/>
  <c r="BM47" i="522"/>
  <c r="BL47" i="522"/>
  <c r="BK47" i="522"/>
  <c r="BJ47" i="522"/>
  <c r="BI47" i="522"/>
  <c r="BH47" i="522"/>
  <c r="BG47" i="522"/>
  <c r="BF47" i="522"/>
  <c r="BE47" i="522"/>
  <c r="BD47" i="522"/>
  <c r="BC47" i="522"/>
  <c r="BB47" i="522"/>
  <c r="BA47" i="522"/>
  <c r="AZ47" i="522"/>
  <c r="AY47" i="522"/>
  <c r="AX47" i="522"/>
  <c r="AW47" i="522"/>
  <c r="BN7" i="522"/>
  <c r="BL7" i="522"/>
  <c r="BK7" i="522"/>
  <c r="BI7" i="522"/>
  <c r="BH7" i="522"/>
  <c r="BF7" i="522"/>
  <c r="BE7" i="522"/>
  <c r="BC7" i="522"/>
  <c r="BB7" i="522"/>
  <c r="AZ7" i="522"/>
  <c r="AY7" i="522"/>
  <c r="AW7" i="522"/>
  <c r="BM7" i="522"/>
  <c r="BJ7" i="522"/>
  <c r="BG7" i="522"/>
  <c r="BD7" i="522"/>
  <c r="BA7" i="522"/>
  <c r="AX7" i="522"/>
  <c r="BS6" i="527"/>
  <c r="BS11" i="527"/>
  <c r="BS14" i="527"/>
  <c r="BS26" i="522"/>
  <c r="BM26" i="522" s="1"/>
  <c r="BS25" i="522"/>
  <c r="BJ25" i="522" s="1"/>
  <c r="BS23" i="522"/>
  <c r="BC23" i="522" s="1"/>
  <c r="BS22" i="522"/>
  <c r="BG22" i="522" s="1"/>
  <c r="BS21" i="522"/>
  <c r="BM21" i="522" s="1"/>
  <c r="BS19" i="522"/>
  <c r="BJ19" i="522" s="1"/>
  <c r="BS18" i="522"/>
  <c r="BM18" i="522" s="1"/>
  <c r="BS17" i="522"/>
  <c r="BC17" i="522" s="1"/>
  <c r="BS15" i="522"/>
  <c r="AV15" i="522" s="1"/>
  <c r="BS14" i="522"/>
  <c r="BC14" i="522" s="1"/>
  <c r="BS13" i="522"/>
  <c r="BM13" i="522" s="1"/>
  <c r="BS12" i="522"/>
  <c r="AV12" i="522" s="1"/>
  <c r="AV21" i="522"/>
  <c r="AV26" i="522"/>
  <c r="BL17" i="522"/>
  <c r="AX25" i="522"/>
  <c r="BC26" i="522"/>
  <c r="BL15" i="522"/>
  <c r="AZ15" i="522"/>
  <c r="BF26" i="522"/>
  <c r="BC15" i="522"/>
  <c r="BF21" i="522"/>
  <c r="BI21" i="522"/>
  <c r="AZ26" i="522"/>
  <c r="BD25" i="522"/>
  <c r="BF15" i="522"/>
  <c r="BL21" i="522"/>
  <c r="AX15" i="522"/>
  <c r="AZ21" i="522"/>
  <c r="BG25" i="522"/>
  <c r="BI15" i="522"/>
  <c r="BI26" i="522"/>
  <c r="BI23" i="522"/>
  <c r="AW13" i="522"/>
  <c r="AW26" i="522"/>
  <c r="AX26" i="522"/>
  <c r="BA15" i="522"/>
  <c r="BA21" i="522"/>
  <c r="AX12" i="522"/>
  <c r="AZ25" i="522"/>
  <c r="BC19" i="522"/>
  <c r="BC25" i="522"/>
  <c r="BI14" i="522"/>
  <c r="BL25" i="522"/>
  <c r="BM25" i="522"/>
  <c r="BL26" i="522"/>
  <c r="AW25" i="522"/>
  <c r="AZ18" i="522"/>
  <c r="BC13" i="522"/>
  <c r="AX21" i="522"/>
  <c r="BA23" i="522"/>
  <c r="BA26" i="522"/>
  <c r="BD15" i="522"/>
  <c r="BD21" i="522"/>
  <c r="BD26" i="522"/>
  <c r="BG15" i="522"/>
  <c r="BG21" i="522"/>
  <c r="BG26" i="522"/>
  <c r="BJ15" i="522"/>
  <c r="BJ21" i="522"/>
  <c r="BJ26" i="522"/>
  <c r="BN23" i="527"/>
  <c r="BM23" i="527"/>
  <c r="BL23" i="527"/>
  <c r="BK23" i="527"/>
  <c r="BJ23" i="527"/>
  <c r="BI23" i="527"/>
  <c r="BH23" i="527"/>
  <c r="BG23" i="527"/>
  <c r="BF23" i="527"/>
  <c r="BE23" i="527"/>
  <c r="BD23" i="527"/>
  <c r="BC23" i="527"/>
  <c r="BB23" i="527"/>
  <c r="BA23" i="527"/>
  <c r="AZ23" i="527"/>
  <c r="AY23" i="527"/>
  <c r="AX23" i="527"/>
  <c r="AW23" i="527"/>
  <c r="AT26" i="522"/>
  <c r="AT25" i="522"/>
  <c r="AT23" i="522"/>
  <c r="AT22" i="522"/>
  <c r="AT21" i="522"/>
  <c r="AT19" i="522"/>
  <c r="AT18" i="522"/>
  <c r="AT17" i="522"/>
  <c r="AT13" i="522"/>
  <c r="AT14" i="522"/>
  <c r="AT15" i="522"/>
  <c r="AT12" i="522"/>
  <c r="AQ5" i="522"/>
  <c r="D5" i="537"/>
  <c r="BN11" i="527"/>
  <c r="BK11" i="527"/>
  <c r="BH11" i="527"/>
  <c r="BE11" i="527"/>
  <c r="BB11" i="527"/>
  <c r="AY11" i="527"/>
  <c r="AR11" i="527"/>
  <c r="AS11" i="527" s="1"/>
  <c r="BI49" i="522"/>
  <c r="BM835" i="522"/>
  <c r="BL835" i="522"/>
  <c r="BJ835" i="522"/>
  <c r="BI835" i="522"/>
  <c r="BG835" i="522"/>
  <c r="BF835" i="522"/>
  <c r="BD835" i="522"/>
  <c r="BC835" i="522"/>
  <c r="BA835" i="522"/>
  <c r="AZ835" i="522"/>
  <c r="AX835" i="522"/>
  <c r="AW835" i="522"/>
  <c r="AR835" i="522"/>
  <c r="AQ835" i="522"/>
  <c r="BM158" i="522"/>
  <c r="BL158" i="522"/>
  <c r="BJ158" i="522"/>
  <c r="BI158" i="522"/>
  <c r="BG158" i="522"/>
  <c r="BF158" i="522"/>
  <c r="BD158" i="522"/>
  <c r="BC158" i="522"/>
  <c r="BA158" i="522"/>
  <c r="AZ158" i="522"/>
  <c r="AX158" i="522"/>
  <c r="AW158" i="522"/>
  <c r="AR158" i="522"/>
  <c r="AQ158" i="522"/>
  <c r="BM49" i="522"/>
  <c r="BL49" i="522"/>
  <c r="BG49" i="522"/>
  <c r="BD49" i="522"/>
  <c r="AZ49" i="522"/>
  <c r="AR14" i="527"/>
  <c r="AS14" i="527" s="1"/>
  <c r="AR6" i="527"/>
  <c r="AS6" i="527" s="1"/>
  <c r="BN6" i="527"/>
  <c r="BK6" i="527"/>
  <c r="BH6" i="527"/>
  <c r="BE6" i="527"/>
  <c r="BB6" i="527"/>
  <c r="AY6" i="527"/>
  <c r="BN14" i="527"/>
  <c r="BK14" i="527"/>
  <c r="BH14" i="527"/>
  <c r="BE14" i="527"/>
  <c r="BB14" i="527"/>
  <c r="AY14" i="527"/>
  <c r="D5" i="534"/>
  <c r="D4" i="522"/>
  <c r="D5" i="522"/>
  <c r="E5" i="521"/>
  <c r="B5" i="518" s="1"/>
  <c r="AQ49" i="522"/>
  <c r="BF49" i="522"/>
  <c r="AW49" i="522"/>
  <c r="BA49" i="522"/>
  <c r="BJ49" i="522"/>
  <c r="BK49" i="522" s="1"/>
  <c r="AX49" i="522"/>
  <c r="BC49" i="522"/>
  <c r="AR49" i="522"/>
  <c r="F43" i="521"/>
  <c r="BL19" i="522" l="1"/>
  <c r="AX39" i="522"/>
  <c r="AX19" i="522"/>
  <c r="AW14" i="522"/>
  <c r="BI25" i="522"/>
  <c r="AZ19" i="522"/>
  <c r="BJ14" i="522"/>
  <c r="BK14" i="522" s="1"/>
  <c r="BA25" i="522"/>
  <c r="AR25" i="522" s="1"/>
  <c r="BA30" i="522"/>
  <c r="BI19" i="522"/>
  <c r="AW19" i="522"/>
  <c r="AV25" i="522"/>
  <c r="BL30" i="522"/>
  <c r="BL40" i="522"/>
  <c r="BN40" i="522" s="1"/>
  <c r="BJ40" i="522"/>
  <c r="BG18" i="522"/>
  <c r="AW21" i="522"/>
  <c r="BM14" i="522"/>
  <c r="BN14" i="522" s="1"/>
  <c r="BF25" i="522"/>
  <c r="BD19" i="522"/>
  <c r="BG19" i="522"/>
  <c r="AV19" i="522"/>
  <c r="BM40" i="522"/>
  <c r="BD30" i="522"/>
  <c r="BC40" i="522"/>
  <c r="BF40" i="522"/>
  <c r="BF23" i="522"/>
  <c r="BF19" i="522"/>
  <c r="BD12" i="522"/>
  <c r="BA19" i="522"/>
  <c r="AR19" i="522" s="1"/>
  <c r="BC21" i="522"/>
  <c r="AQ21" i="522" s="1"/>
  <c r="BM19" i="522"/>
  <c r="BG40" i="522"/>
  <c r="BC30" i="522"/>
  <c r="AW40" i="522"/>
  <c r="BK158" i="522"/>
  <c r="BF24" i="522"/>
  <c r="BD24" i="522"/>
  <c r="AV24" i="522"/>
  <c r="AY35" i="522"/>
  <c r="BB15" i="522"/>
  <c r="BN19" i="522"/>
  <c r="BN158" i="522"/>
  <c r="BB30" i="522"/>
  <c r="BB158" i="522"/>
  <c r="BH158" i="522"/>
  <c r="AY835" i="522"/>
  <c r="BE835" i="522"/>
  <c r="BK835" i="522"/>
  <c r="BK19" i="522"/>
  <c r="BE26" i="522"/>
  <c r="BE158" i="522"/>
  <c r="BI12" i="522"/>
  <c r="BF12" i="522"/>
  <c r="BC12" i="522"/>
  <c r="BE12" i="522" s="1"/>
  <c r="AZ12" i="522"/>
  <c r="BM17" i="522"/>
  <c r="BN17" i="522" s="1"/>
  <c r="BM12" i="522"/>
  <c r="BF37" i="522"/>
  <c r="AS158" i="522"/>
  <c r="BI17" i="522"/>
  <c r="BF22" i="522"/>
  <c r="BF20" i="522" s="1"/>
  <c r="AZ22" i="522"/>
  <c r="AW12" i="522"/>
  <c r="AY12" i="522" s="1"/>
  <c r="BJ12" i="522"/>
  <c r="BA17" i="522"/>
  <c r="BL12" i="522"/>
  <c r="BC41" i="522"/>
  <c r="BC38" i="522" s="1"/>
  <c r="BE49" i="522"/>
  <c r="BA12" i="522"/>
  <c r="BM15" i="522"/>
  <c r="BN15" i="522" s="1"/>
  <c r="BJ32" i="522"/>
  <c r="BK32" i="522" s="1"/>
  <c r="BE25" i="522"/>
  <c r="AX33" i="522"/>
  <c r="BM23" i="522"/>
  <c r="AZ39" i="522"/>
  <c r="BD33" i="522"/>
  <c r="BE33" i="522" s="1"/>
  <c r="AY158" i="522"/>
  <c r="AS835" i="522"/>
  <c r="BB835" i="522"/>
  <c r="BH835" i="522"/>
  <c r="BN835" i="522"/>
  <c r="AX24" i="522"/>
  <c r="AT24" i="522"/>
  <c r="BG24" i="522"/>
  <c r="BH25" i="522"/>
  <c r="AT20" i="522"/>
  <c r="BH21" i="522"/>
  <c r="AY21" i="522"/>
  <c r="BH15" i="522"/>
  <c r="BN25" i="522"/>
  <c r="AW24" i="522"/>
  <c r="BB21" i="522"/>
  <c r="BB19" i="522"/>
  <c r="BH19" i="522"/>
  <c r="AY25" i="522"/>
  <c r="AY37" i="522"/>
  <c r="BH49" i="522"/>
  <c r="BB49" i="522"/>
  <c r="BK15" i="522"/>
  <c r="AS49" i="522"/>
  <c r="AY49" i="522"/>
  <c r="AY26" i="522"/>
  <c r="BN49" i="522"/>
  <c r="BN21" i="522"/>
  <c r="BG12" i="522"/>
  <c r="AW15" i="522"/>
  <c r="AQ15" i="522" s="1"/>
  <c r="AV14" i="522"/>
  <c r="BF33" i="522"/>
  <c r="BN26" i="522"/>
  <c r="BK43" i="522"/>
  <c r="AR21" i="522"/>
  <c r="BJ18" i="522"/>
  <c r="BD23" i="522"/>
  <c r="BE23" i="522" s="1"/>
  <c r="AW18" i="522"/>
  <c r="BM24" i="522"/>
  <c r="BL24" i="522"/>
  <c r="AZ14" i="522"/>
  <c r="AW23" i="522"/>
  <c r="BL18" i="522"/>
  <c r="BN18" i="522" s="1"/>
  <c r="BK26" i="522"/>
  <c r="BM16" i="522"/>
  <c r="BG14" i="522"/>
  <c r="AV23" i="522"/>
  <c r="AZ36" i="522"/>
  <c r="AX36" i="522"/>
  <c r="BE30" i="522"/>
  <c r="BJ41" i="522"/>
  <c r="AW36" i="522"/>
  <c r="AW34" i="522" s="1"/>
  <c r="BN43" i="522"/>
  <c r="AX32" i="522"/>
  <c r="AY32" i="522" s="1"/>
  <c r="BM34" i="522"/>
  <c r="AT11" i="522"/>
  <c r="AT16" i="522"/>
  <c r="BJ23" i="522"/>
  <c r="BK23" i="522" s="1"/>
  <c r="BD18" i="522"/>
  <c r="BA18" i="522"/>
  <c r="BF18" i="522"/>
  <c r="BH18" i="522" s="1"/>
  <c r="AX18" i="522"/>
  <c r="BF14" i="522"/>
  <c r="AX23" i="522"/>
  <c r="BI18" i="522"/>
  <c r="BA14" i="522"/>
  <c r="BD14" i="522"/>
  <c r="BE14" i="522" s="1"/>
  <c r="AX14" i="522"/>
  <c r="AY14" i="522" s="1"/>
  <c r="AV18" i="522"/>
  <c r="BE37" i="522"/>
  <c r="BI31" i="522"/>
  <c r="BH43" i="522"/>
  <c r="AQ43" i="522"/>
  <c r="BH40" i="522"/>
  <c r="BG23" i="522"/>
  <c r="BG20" i="522" s="1"/>
  <c r="BE15" i="522"/>
  <c r="BC18" i="522"/>
  <c r="BC16" i="522" s="1"/>
  <c r="AZ23" i="522"/>
  <c r="BB23" i="522" s="1"/>
  <c r="BL23" i="522"/>
  <c r="BN23" i="522" s="1"/>
  <c r="BE19" i="522"/>
  <c r="AZ41" i="522"/>
  <c r="BC42" i="522"/>
  <c r="BK21" i="522"/>
  <c r="BB26" i="522"/>
  <c r="AX13" i="522"/>
  <c r="AY13" i="522" s="1"/>
  <c r="BF13" i="522"/>
  <c r="BI13" i="522"/>
  <c r="BG13" i="522"/>
  <c r="AV13" i="522"/>
  <c r="AZ13" i="522"/>
  <c r="BL13" i="522"/>
  <c r="BA13" i="522"/>
  <c r="BD13" i="522"/>
  <c r="BE13" i="522" s="1"/>
  <c r="BJ13" i="522"/>
  <c r="AX17" i="522"/>
  <c r="AZ17" i="522"/>
  <c r="BF17" i="522"/>
  <c r="AW17" i="522"/>
  <c r="AV17" i="522"/>
  <c r="BD17" i="522"/>
  <c r="BE17" i="522" s="1"/>
  <c r="BG17" i="522"/>
  <c r="BG16" i="522" s="1"/>
  <c r="BL22" i="522"/>
  <c r="BA22" i="522"/>
  <c r="BA20" i="522" s="1"/>
  <c r="BJ22" i="522"/>
  <c r="BC22" i="522"/>
  <c r="BI22" i="522"/>
  <c r="AV22" i="522"/>
  <c r="AX22" i="522"/>
  <c r="BD22" i="522"/>
  <c r="AW22" i="522"/>
  <c r="BM22" i="522"/>
  <c r="BJ44" i="522"/>
  <c r="BJ42" i="522" s="1"/>
  <c r="AU31" i="522"/>
  <c r="BF31" i="522"/>
  <c r="BH31" i="522" s="1"/>
  <c r="BM31" i="522"/>
  <c r="AW31" i="522"/>
  <c r="BD31" i="522"/>
  <c r="BL31" i="522"/>
  <c r="AT31" i="522"/>
  <c r="BC31" i="522"/>
  <c r="BJ31" i="522"/>
  <c r="AV31" i="522"/>
  <c r="AZ31" i="522"/>
  <c r="BA31" i="522"/>
  <c r="BA29" i="522" s="1"/>
  <c r="AX31" i="522"/>
  <c r="AU36" i="522"/>
  <c r="AU34" i="522" s="1"/>
  <c r="BA36" i="522"/>
  <c r="BI36" i="522"/>
  <c r="BI34" i="522" s="1"/>
  <c r="BJ36" i="522"/>
  <c r="BJ34" i="522" s="1"/>
  <c r="BL36" i="522"/>
  <c r="BN36" i="522" s="1"/>
  <c r="BG36" i="522"/>
  <c r="AV36" i="522"/>
  <c r="AT36" i="522"/>
  <c r="BC36" i="522"/>
  <c r="BC34" i="522" s="1"/>
  <c r="BD36" i="522"/>
  <c r="BF36" i="522"/>
  <c r="AU41" i="522"/>
  <c r="BG41" i="522"/>
  <c r="AX41" i="522"/>
  <c r="BL41" i="522"/>
  <c r="BM41" i="522"/>
  <c r="AW41" i="522"/>
  <c r="BD41" i="522"/>
  <c r="AV41" i="522"/>
  <c r="BA41" i="522"/>
  <c r="BI41" i="522"/>
  <c r="BF41" i="522"/>
  <c r="BI24" i="522"/>
  <c r="BJ17" i="522"/>
  <c r="AR43" i="522"/>
  <c r="BH35" i="522"/>
  <c r="BN30" i="522"/>
  <c r="AU33" i="522"/>
  <c r="AZ33" i="522"/>
  <c r="BB33" i="522" s="1"/>
  <c r="BM33" i="522"/>
  <c r="BL33" i="522"/>
  <c r="AW33" i="522"/>
  <c r="AT33" i="522"/>
  <c r="AV33" i="522"/>
  <c r="BJ33" i="522"/>
  <c r="BI33" i="522"/>
  <c r="BG33" i="522"/>
  <c r="AU39" i="522"/>
  <c r="BI39" i="522"/>
  <c r="BA39" i="522"/>
  <c r="BG39" i="522"/>
  <c r="BF39" i="522"/>
  <c r="BJ39" i="522"/>
  <c r="BM39" i="522"/>
  <c r="BL39" i="522"/>
  <c r="AV39" i="522"/>
  <c r="AW39" i="522"/>
  <c r="AY39" i="522" s="1"/>
  <c r="AT39" i="522"/>
  <c r="AT38" i="522" s="1"/>
  <c r="BD39" i="522"/>
  <c r="BE39" i="522" s="1"/>
  <c r="AU44" i="522"/>
  <c r="AU42" i="522" s="1"/>
  <c r="AX44" i="522"/>
  <c r="BF44" i="522"/>
  <c r="BF42" i="522" s="1"/>
  <c r="BG44" i="522"/>
  <c r="BG42" i="522" s="1"/>
  <c r="AW44" i="522"/>
  <c r="BD44" i="522"/>
  <c r="BL44" i="522"/>
  <c r="BM44" i="522"/>
  <c r="BM42" i="522" s="1"/>
  <c r="AV44" i="522"/>
  <c r="BI44" i="522"/>
  <c r="AZ44" i="522"/>
  <c r="AZ42" i="522" s="1"/>
  <c r="BA44" i="522"/>
  <c r="BA42" i="522" s="1"/>
  <c r="AZ24" i="522"/>
  <c r="BC32" i="522"/>
  <c r="BK37" i="522"/>
  <c r="AT32" i="522"/>
  <c r="BJ30" i="522"/>
  <c r="BI30" i="522"/>
  <c r="BG37" i="522"/>
  <c r="AZ35" i="522"/>
  <c r="AZ37" i="522"/>
  <c r="BB37" i="522" s="1"/>
  <c r="BD32" i="522"/>
  <c r="AT30" i="522"/>
  <c r="AX40" i="522"/>
  <c r="AY40" i="522" s="1"/>
  <c r="AZ32" i="522"/>
  <c r="BC24" i="522"/>
  <c r="BF30" i="522"/>
  <c r="BA35" i="522"/>
  <c r="BG32" i="522"/>
  <c r="AX30" i="522"/>
  <c r="AT37" i="522"/>
  <c r="BL35" i="522"/>
  <c r="BI40" i="522"/>
  <c r="BL37" i="522"/>
  <c r="BN37" i="522" s="1"/>
  <c r="BD35" i="522"/>
  <c r="BG30" i="522"/>
  <c r="AZ40" i="522"/>
  <c r="BB40" i="522" s="1"/>
  <c r="BF32" i="522"/>
  <c r="BD40" i="522"/>
  <c r="BL32" i="522"/>
  <c r="BN32" i="522" s="1"/>
  <c r="AV30" i="522"/>
  <c r="AV32" i="522"/>
  <c r="AV35" i="522"/>
  <c r="AV37" i="522"/>
  <c r="AV40" i="522"/>
  <c r="AV43" i="522"/>
  <c r="BK25" i="522"/>
  <c r="AQ26" i="522"/>
  <c r="AQ25" i="522"/>
  <c r="AQ19" i="522"/>
  <c r="BJ24" i="522"/>
  <c r="BE43" i="522"/>
  <c r="AY19" i="522"/>
  <c r="AY43" i="522"/>
  <c r="BK35" i="522"/>
  <c r="AR26" i="522"/>
  <c r="BH26" i="522"/>
  <c r="BB43" i="522"/>
  <c r="F4" i="521"/>
  <c r="BA24" i="522" l="1"/>
  <c r="BE21" i="522"/>
  <c r="BC20" i="522"/>
  <c r="BB25" i="522"/>
  <c r="BK12" i="522"/>
  <c r="AQ3" i="522"/>
  <c r="BK39" i="522"/>
  <c r="BI11" i="522"/>
  <c r="BH24" i="522"/>
  <c r="AR15" i="522"/>
  <c r="AS15" i="522" s="1"/>
  <c r="BF34" i="522"/>
  <c r="BM20" i="522"/>
  <c r="BK31" i="522"/>
  <c r="BE24" i="522"/>
  <c r="BK17" i="522"/>
  <c r="BG38" i="522"/>
  <c r="BH22" i="522"/>
  <c r="BF38" i="522"/>
  <c r="BA16" i="522"/>
  <c r="BB17" i="522"/>
  <c r="AV11" i="522"/>
  <c r="AY24" i="522"/>
  <c r="BC11" i="522"/>
  <c r="BC10" i="522" s="1"/>
  <c r="BM11" i="522"/>
  <c r="AY33" i="522"/>
  <c r="AY15" i="522"/>
  <c r="BD20" i="522"/>
  <c r="BE20" i="522" s="1"/>
  <c r="BB12" i="522"/>
  <c r="BB39" i="522"/>
  <c r="BJ20" i="522"/>
  <c r="BA11" i="522"/>
  <c r="BL16" i="522"/>
  <c r="BN16" i="522" s="1"/>
  <c r="AR12" i="522"/>
  <c r="AY41" i="522"/>
  <c r="AZ11" i="522"/>
  <c r="BN12" i="522"/>
  <c r="AQ12" i="522"/>
  <c r="BE41" i="522"/>
  <c r="BD16" i="522"/>
  <c r="BE16" i="522" s="1"/>
  <c r="AX11" i="522"/>
  <c r="AR13" i="522"/>
  <c r="BB24" i="522"/>
  <c r="BB36" i="522"/>
  <c r="AZ20" i="522"/>
  <c r="BB20" i="522" s="1"/>
  <c r="BB41" i="522"/>
  <c r="AV20" i="522"/>
  <c r="AX16" i="522"/>
  <c r="BH12" i="522"/>
  <c r="AZ16" i="522"/>
  <c r="BK41" i="522"/>
  <c r="AS43" i="522"/>
  <c r="BG11" i="522"/>
  <c r="BG10" i="522" s="1"/>
  <c r="AY18" i="522"/>
  <c r="AX29" i="522"/>
  <c r="AZ29" i="522"/>
  <c r="BB29" i="522" s="1"/>
  <c r="BH33" i="522"/>
  <c r="BE18" i="522"/>
  <c r="BA34" i="522"/>
  <c r="BF16" i="522"/>
  <c r="BH16" i="522" s="1"/>
  <c r="BG34" i="522"/>
  <c r="AW20" i="522"/>
  <c r="AW16" i="522"/>
  <c r="BB22" i="522"/>
  <c r="AY30" i="522"/>
  <c r="BK18" i="522"/>
  <c r="BF11" i="522"/>
  <c r="AW11" i="522"/>
  <c r="BN24" i="522"/>
  <c r="AY36" i="522"/>
  <c r="BB42" i="522"/>
  <c r="AS26" i="522"/>
  <c r="BK13" i="522"/>
  <c r="AQ35" i="522"/>
  <c r="AX34" i="522"/>
  <c r="AY34" i="522" s="1"/>
  <c r="BG29" i="522"/>
  <c r="BN33" i="522"/>
  <c r="BH41" i="522"/>
  <c r="BE36" i="522"/>
  <c r="AS21" i="522"/>
  <c r="BH42" i="522"/>
  <c r="AR18" i="522"/>
  <c r="AT10" i="522"/>
  <c r="BB14" i="522"/>
  <c r="AR33" i="522"/>
  <c r="AU29" i="522"/>
  <c r="BB32" i="522"/>
  <c r="AV34" i="522"/>
  <c r="AR40" i="522"/>
  <c r="AR37" i="522"/>
  <c r="BF29" i="522"/>
  <c r="AR22" i="522"/>
  <c r="AQ18" i="522"/>
  <c r="AR23" i="522"/>
  <c r="AQ37" i="522"/>
  <c r="AR41" i="522"/>
  <c r="BB13" i="522"/>
  <c r="AY23" i="522"/>
  <c r="BH32" i="522"/>
  <c r="BH23" i="522"/>
  <c r="BD29" i="522"/>
  <c r="BH39" i="522"/>
  <c r="BM29" i="522"/>
  <c r="BH20" i="522"/>
  <c r="BN41" i="522"/>
  <c r="BK36" i="522"/>
  <c r="AR31" i="522"/>
  <c r="BE31" i="522"/>
  <c r="AY31" i="522"/>
  <c r="BD11" i="522"/>
  <c r="AZ38" i="522"/>
  <c r="BI16" i="522"/>
  <c r="AR44" i="522"/>
  <c r="BD38" i="522"/>
  <c r="BE38" i="522" s="1"/>
  <c r="AX20" i="522"/>
  <c r="BB18" i="522"/>
  <c r="AR14" i="522"/>
  <c r="BH44" i="522"/>
  <c r="AQ40" i="522"/>
  <c r="AR32" i="522"/>
  <c r="BB44" i="522"/>
  <c r="BM38" i="522"/>
  <c r="AQ24" i="522"/>
  <c r="AV16" i="522"/>
  <c r="BH14" i="522"/>
  <c r="AQ23" i="522"/>
  <c r="AQ14" i="522"/>
  <c r="BI42" i="522"/>
  <c r="BK42" i="522" s="1"/>
  <c r="BK44" i="522"/>
  <c r="BH37" i="522"/>
  <c r="BN22" i="522"/>
  <c r="BL20" i="522"/>
  <c r="AX42" i="522"/>
  <c r="AQ31" i="522"/>
  <c r="BK24" i="522"/>
  <c r="BJ16" i="522"/>
  <c r="BE40" i="522"/>
  <c r="BK30" i="522"/>
  <c r="BI29" i="522"/>
  <c r="BE32" i="522"/>
  <c r="AV42" i="522"/>
  <c r="AQ44" i="522"/>
  <c r="AW42" i="522"/>
  <c r="AY44" i="522"/>
  <c r="AV38" i="522"/>
  <c r="AU38" i="522"/>
  <c r="BA38" i="522"/>
  <c r="AX38" i="522"/>
  <c r="BH36" i="522"/>
  <c r="BB31" i="522"/>
  <c r="AT29" i="522"/>
  <c r="BE22" i="522"/>
  <c r="BH17" i="522"/>
  <c r="BE35" i="522"/>
  <c r="BD34" i="522"/>
  <c r="AQ30" i="522"/>
  <c r="BE44" i="522"/>
  <c r="BD42" i="522"/>
  <c r="BE42" i="522" s="1"/>
  <c r="BI20" i="522"/>
  <c r="BK22" i="522"/>
  <c r="AY17" i="522"/>
  <c r="AQ17" i="522"/>
  <c r="BH13" i="522"/>
  <c r="AQ13" i="522"/>
  <c r="BJ38" i="522"/>
  <c r="AQ32" i="522"/>
  <c r="AR35" i="522"/>
  <c r="AW29" i="522"/>
  <c r="AR17" i="522"/>
  <c r="BJ11" i="522"/>
  <c r="BI38" i="522"/>
  <c r="BK40" i="522"/>
  <c r="BJ29" i="522"/>
  <c r="BJ28" i="522" s="1"/>
  <c r="BN39" i="522"/>
  <c r="BL38" i="522"/>
  <c r="AQ33" i="522"/>
  <c r="AW38" i="522"/>
  <c r="AV29" i="522"/>
  <c r="BN31" i="522"/>
  <c r="AQ39" i="522"/>
  <c r="AY22" i="522"/>
  <c r="AQ22" i="522"/>
  <c r="AQ41" i="522"/>
  <c r="BC29" i="522"/>
  <c r="BC28" i="522" s="1"/>
  <c r="AR30" i="522"/>
  <c r="AR39" i="522"/>
  <c r="AS25" i="522"/>
  <c r="BH30" i="522"/>
  <c r="BL34" i="522"/>
  <c r="BN34" i="522" s="1"/>
  <c r="BN35" i="522"/>
  <c r="BB35" i="522"/>
  <c r="AZ34" i="522"/>
  <c r="BN44" i="522"/>
  <c r="BL42" i="522"/>
  <c r="BN42" i="522" s="1"/>
  <c r="BK33" i="522"/>
  <c r="BL29" i="522"/>
  <c r="AR36" i="522"/>
  <c r="AQ36" i="522"/>
  <c r="AT34" i="522"/>
  <c r="BN13" i="522"/>
  <c r="AR24" i="522"/>
  <c r="AS19" i="522"/>
  <c r="BK34" i="522"/>
  <c r="AS12" i="522" l="1"/>
  <c r="BN20" i="522"/>
  <c r="BH34" i="522"/>
  <c r="BM10" i="522"/>
  <c r="AY11" i="522"/>
  <c r="BB11" i="522"/>
  <c r="BH38" i="522"/>
  <c r="BA10" i="522"/>
  <c r="BF28" i="522"/>
  <c r="BD10" i="522"/>
  <c r="BE10" i="522" s="1"/>
  <c r="AS23" i="522"/>
  <c r="AS35" i="522"/>
  <c r="AS40" i="522"/>
  <c r="BB34" i="522"/>
  <c r="AS33" i="522"/>
  <c r="AR20" i="522"/>
  <c r="AV10" i="522"/>
  <c r="AS13" i="522"/>
  <c r="AY16" i="522"/>
  <c r="AS32" i="522"/>
  <c r="BB38" i="522"/>
  <c r="BH11" i="522"/>
  <c r="AQ16" i="522"/>
  <c r="BB16" i="522"/>
  <c r="AZ10" i="522"/>
  <c r="AS22" i="522"/>
  <c r="AW10" i="522"/>
  <c r="AQ11" i="522"/>
  <c r="AS41" i="522"/>
  <c r="BG28" i="522"/>
  <c r="BI10" i="522"/>
  <c r="BK16" i="522"/>
  <c r="BF10" i="522"/>
  <c r="BH10" i="522" s="1"/>
  <c r="AU28" i="522"/>
  <c r="BN38" i="522"/>
  <c r="AV28" i="522"/>
  <c r="BH29" i="522"/>
  <c r="AR29" i="522"/>
  <c r="AS31" i="522"/>
  <c r="AR42" i="522"/>
  <c r="AY20" i="522"/>
  <c r="AS37" i="522"/>
  <c r="AS39" i="522"/>
  <c r="AX10" i="522"/>
  <c r="AX28" i="522"/>
  <c r="BD28" i="522"/>
  <c r="BE28" i="522" s="1"/>
  <c r="AQ42" i="522"/>
  <c r="AS18" i="522"/>
  <c r="AR38" i="522"/>
  <c r="BE34" i="522"/>
  <c r="BE29" i="522"/>
  <c r="AS24" i="522"/>
  <c r="BK20" i="522"/>
  <c r="AS14" i="522"/>
  <c r="BM28" i="522"/>
  <c r="BE11" i="522"/>
  <c r="AR11" i="522"/>
  <c r="AT28" i="522"/>
  <c r="AY42" i="522"/>
  <c r="AR16" i="522"/>
  <c r="AS17" i="522"/>
  <c r="BK38" i="522"/>
  <c r="AS44" i="522"/>
  <c r="BL28" i="522"/>
  <c r="BN29" i="522"/>
  <c r="AW28" i="522"/>
  <c r="AY29" i="522"/>
  <c r="BA28" i="522"/>
  <c r="AR34" i="522"/>
  <c r="AQ34" i="522"/>
  <c r="AS30" i="522"/>
  <c r="AZ28" i="522"/>
  <c r="AS36" i="522"/>
  <c r="AQ29" i="522"/>
  <c r="BJ10" i="522"/>
  <c r="BK11" i="522"/>
  <c r="AQ20" i="522"/>
  <c r="BL10" i="522"/>
  <c r="BN11" i="522"/>
  <c r="AY38" i="522"/>
  <c r="AQ38" i="522"/>
  <c r="BK29" i="522"/>
  <c r="BI28" i="522"/>
  <c r="BK28" i="522" s="1"/>
  <c r="BB28" i="522" l="1"/>
  <c r="BB10" i="522"/>
  <c r="BH28" i="522"/>
  <c r="AS20" i="522"/>
  <c r="AS42" i="522"/>
  <c r="AS16" i="522"/>
  <c r="AY10" i="522"/>
  <c r="AS11" i="522"/>
  <c r="BK10" i="522"/>
  <c r="AS29" i="522"/>
  <c r="AS38" i="522"/>
  <c r="AY28" i="522"/>
  <c r="AQ28" i="522"/>
  <c r="AR28" i="522"/>
  <c r="AS34" i="522"/>
  <c r="BN28" i="522"/>
  <c r="AR10" i="522"/>
  <c r="BN10" i="522"/>
  <c r="AQ10" i="522"/>
  <c r="AS28" i="522" l="1"/>
  <c r="AS10" i="522"/>
</calcChain>
</file>

<file path=xl/comments1.xml><?xml version="1.0" encoding="utf-8"?>
<comments xmlns="http://schemas.openxmlformats.org/spreadsheetml/2006/main">
  <authors>
    <author>KAV</author>
    <author>KAA</author>
  </authors>
  <commentList>
    <comment ref="M7" authorId="0" shapeId="0">
      <text>
        <r>
          <rPr>
            <sz val="9"/>
            <color indexed="81"/>
            <rFont val="Tahoma"/>
            <family val="2"/>
            <charset val="204"/>
          </rPr>
          <t>Нарастающим итогом за 
предыдущие периоды</t>
        </r>
      </text>
    </comment>
    <comment ref="AG12" authorId="1" shapeId="0">
      <text>
        <r>
          <rPr>
            <sz val="9"/>
            <color indexed="81"/>
            <rFont val="Tahoma"/>
            <family val="2"/>
            <charset val="204"/>
          </rPr>
          <t>расходы на капитальные вложения (инвестиции)</t>
        </r>
      </text>
    </comment>
    <comment ref="AG30" authorId="1" shapeId="0">
      <text>
        <r>
          <rPr>
            <sz val="9"/>
            <color indexed="81"/>
            <rFont val="Tahoma"/>
            <family val="2"/>
            <charset val="204"/>
          </rPr>
          <t>расходы на капитальные вложения (инвестиции)</t>
        </r>
      </text>
    </comment>
    <comment ref="M47" authorId="0" shapeId="0">
      <text>
        <r>
          <rPr>
            <sz val="9"/>
            <color indexed="81"/>
            <rFont val="Tahoma"/>
            <family val="2"/>
            <charset val="204"/>
          </rPr>
          <t>Нарастающим итогом за 
предыдущие периоды</t>
        </r>
      </text>
    </comment>
    <comment ref="M156" authorId="0" shapeId="0">
      <text>
        <r>
          <rPr>
            <sz val="9"/>
            <color indexed="81"/>
            <rFont val="Tahoma"/>
            <family val="2"/>
            <charset val="204"/>
          </rPr>
          <t>Нарастающим итогом за 
предыдущие периоды</t>
        </r>
      </text>
    </comment>
    <comment ref="M833" authorId="0" shapeId="0">
      <text>
        <r>
          <rPr>
            <sz val="9"/>
            <color indexed="81"/>
            <rFont val="Tahoma"/>
            <family val="2"/>
            <charset val="204"/>
          </rPr>
          <t>Нарастающим итогом за 
предыдущие периоды</t>
        </r>
      </text>
    </comment>
  </commentList>
</comments>
</file>

<file path=xl/comments2.xml><?xml version="1.0" encoding="utf-8"?>
<comments xmlns="http://schemas.openxmlformats.org/spreadsheetml/2006/main">
  <authors>
    <author>KAV</author>
  </authors>
  <commentList>
    <comment ref="M23" authorId="0" shapeId="0">
      <text>
        <r>
          <rPr>
            <sz val="9"/>
            <color indexed="81"/>
            <rFont val="Tahoma"/>
            <family val="2"/>
            <charset val="204"/>
          </rPr>
          <t>Нарастающим итогом за 
предыдущие периоды</t>
        </r>
      </text>
    </comment>
  </commentList>
</comments>
</file>

<file path=xl/sharedStrings.xml><?xml version="1.0" encoding="utf-8"?>
<sst xmlns="http://schemas.openxmlformats.org/spreadsheetml/2006/main" count="8675" uniqueCount="1508">
  <si>
    <t>2017</t>
  </si>
  <si>
    <t>2018</t>
  </si>
  <si>
    <t>2019</t>
  </si>
  <si>
    <t>2020</t>
  </si>
  <si>
    <t>2021</t>
  </si>
  <si>
    <t>2022</t>
  </si>
  <si>
    <t>2023</t>
  </si>
  <si>
    <t>2024</t>
  </si>
  <si>
    <t>2025</t>
  </si>
  <si>
    <t>2026</t>
  </si>
  <si>
    <t>2027</t>
  </si>
  <si>
    <t>2028</t>
  </si>
  <si>
    <t>2029</t>
  </si>
  <si>
    <t>2030</t>
  </si>
  <si>
    <t>ИП</t>
  </si>
  <si>
    <t>ist_fin_list</t>
  </si>
  <si>
    <t>Ответственный за предоставление информации
 (от регулируемой организации)</t>
  </si>
  <si>
    <t>logical</t>
  </si>
  <si>
    <t>да</t>
  </si>
  <si>
    <t>нет</t>
  </si>
  <si>
    <t>year_list</t>
  </si>
  <si>
    <t>2014</t>
  </si>
  <si>
    <t>2015</t>
  </si>
  <si>
    <t>2016</t>
  </si>
  <si>
    <t>Добавить ист. фин.</t>
  </si>
  <si>
    <t>3.3</t>
  </si>
  <si>
    <t>et_union</t>
  </si>
  <si>
    <t>REESTR_MO</t>
  </si>
  <si>
    <t>E-mail:</t>
  </si>
  <si>
    <t>Фамилия, имя, отчество</t>
  </si>
  <si>
    <t>Контактный телефон</t>
  </si>
  <si>
    <t>Должность</t>
  </si>
  <si>
    <t>e-mail</t>
  </si>
  <si>
    <t>Республика Татарстан</t>
  </si>
  <si>
    <t>Ссылка</t>
  </si>
  <si>
    <t>Причина</t>
  </si>
  <si>
    <t>№ п/п</t>
  </si>
  <si>
    <t>Ульяновская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</si>
  <si>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</si>
  <si>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</si>
  <si>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</si>
  <si>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</si>
  <si>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</si>
  <si>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</si>
  <si>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</si>
  <si>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</si>
  <si>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</si>
  <si>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</si>
  <si>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</si>
  <si>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</si>
  <si>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</si>
  <si>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</si>
  <si>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</si>
  <si>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</si>
  <si>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</si>
  <si>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</si>
  <si>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</si>
  <si>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</si>
  <si>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</si>
  <si>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</si>
  <si>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</si>
  <si>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</si>
  <si>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</si>
  <si>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</si>
  <si>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</si>
  <si>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</si>
  <si>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</si>
  <si>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</si>
  <si>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</si>
  <si>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</si>
  <si>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</si>
  <si>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</si>
  <si>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</si>
  <si>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</si>
  <si>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</si>
  <si>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</si>
  <si>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</si>
  <si>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</si>
  <si>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</si>
  <si>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</si>
  <si>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</si>
  <si>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</si>
  <si>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</si>
  <si>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</si>
  <si>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</si>
  <si>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</si>
  <si>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</si>
  <si>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</si>
  <si>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</si>
  <si>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</si>
  <si>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</si>
  <si>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</si>
  <si>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</si>
  <si>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</si>
  <si>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</si>
  <si>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</si>
  <si>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</si>
  <si>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</si>
  <si>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</si>
  <si>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</si>
  <si>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</si>
  <si>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</si>
  <si>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</si>
  <si>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</si>
  <si>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</si>
  <si>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</si>
  <si>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</si>
  <si>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</si>
  <si>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</si>
  <si>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</si>
  <si>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</si>
  <si>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</si>
  <si>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</si>
  <si>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</si>
  <si>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</si>
  <si>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</si>
  <si>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</si>
  <si>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</si>
  <si>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</si>
  <si>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</si>
  <si>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</si>
  <si>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Дистрибутивы:</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</si>
  <si>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</si>
  <si>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</si>
  <si>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</si>
  <si>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</si>
  <si>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</si>
  <si>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</si>
  <si>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</si>
  <si>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</si>
  <si>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</si>
  <si>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</si>
  <si>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</si>
  <si>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</si>
  <si>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</si>
  <si>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REESTR_ORG</t>
  </si>
  <si>
    <t>modProv</t>
  </si>
  <si>
    <t>modfrmReestr</t>
  </si>
  <si>
    <t>г.Байконур</t>
  </si>
  <si>
    <t>г.Санкт-Петербург</t>
  </si>
  <si>
    <t>REGION</t>
  </si>
  <si>
    <t>Всего</t>
  </si>
  <si>
    <t>Дата/Время</t>
  </si>
  <si>
    <t>Сообщение</t>
  </si>
  <si>
    <t>Статус</t>
  </si>
  <si>
    <t>modClassifierValidate</t>
  </si>
  <si>
    <t>Лог обновления</t>
  </si>
  <si>
    <t>modReestr</t>
  </si>
  <si>
    <t>modUpdTemplMain</t>
  </si>
  <si>
    <t>Юридический адрес</t>
  </si>
  <si>
    <t>Почтовый адрес</t>
  </si>
  <si>
    <t>Наименование организации</t>
  </si>
  <si>
    <t>3.1</t>
  </si>
  <si>
    <t>3.2</t>
  </si>
  <si>
    <t/>
  </si>
  <si>
    <t>Организационно-правовая форма</t>
  </si>
  <si>
    <t>Вид деятельности</t>
  </si>
  <si>
    <t>Муниципальный район</t>
  </si>
  <si>
    <t>Муниципальное образование</t>
  </si>
  <si>
    <t>ОКТМО</t>
  </si>
  <si>
    <t>Адрес регулируемой организации</t>
  </si>
  <si>
    <t>Источник финансирования</t>
  </si>
  <si>
    <t>Производство тепловой энергии</t>
  </si>
  <si>
    <t>Наименование строек</t>
  </si>
  <si>
    <t>Передача теплоэнергии по региональным тепловым сетям</t>
  </si>
  <si>
    <t>Прочие объекты и мероприятия, относимые к регулируемому виду деятельности</t>
  </si>
  <si>
    <t>Период реализации ИП</t>
  </si>
  <si>
    <t>modFill</t>
  </si>
  <si>
    <t>Добавить комментарий</t>
  </si>
  <si>
    <t>et_LisComm</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</si>
  <si>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</si>
  <si>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</si>
  <si>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</si>
  <si>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</si>
  <si>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</si>
  <si>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</si>
  <si>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ФИО:</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</si>
  <si>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</si>
  <si>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</si>
  <si>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</si>
  <si>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</si>
  <si>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</si>
  <si>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month_list</t>
  </si>
  <si>
    <t>Январь</t>
  </si>
  <si>
    <t>Февраль</t>
  </si>
  <si>
    <t>Март</t>
  </si>
  <si>
    <t>Апрель</t>
  </si>
  <si>
    <t>Май</t>
  </si>
  <si>
    <t>Июнь</t>
  </si>
  <si>
    <t>Июль</t>
  </si>
  <si>
    <t>Август</t>
  </si>
  <si>
    <t>Сентябрь</t>
  </si>
  <si>
    <t>Октябрь</t>
  </si>
  <si>
    <t>Ноябрь</t>
  </si>
  <si>
    <t>Декабрь</t>
  </si>
  <si>
    <t>Группа, к которой относятся мероприятия инвестиционной программы</t>
  </si>
  <si>
    <t>Подгруппа, к которой относятся мероприятия инвестиционной программы</t>
  </si>
  <si>
    <t>group_list</t>
  </si>
  <si>
    <t>Строительство, реконструкция или модернизация объектов теплоснабжения в целях подключения потребителей с указанием объектов теплоснабжения, строительство которых финансируется за счет платы за подключение</t>
  </si>
  <si>
    <t>Реконструкция или модернизация существующих объектов теплоснабжения в целях снижения уровня износа существующих объектов теплоснабжения</t>
  </si>
  <si>
    <t>Мероприятия, направленные на повышение экологической эффективности</t>
  </si>
  <si>
    <t>Вывод из эксплуатации, консервации и демонтаж объектов теплоснабжения</t>
  </si>
  <si>
    <t>podgroup_1_list</t>
  </si>
  <si>
    <t>podgroup_3_list</t>
  </si>
  <si>
    <t>podgroup_5_list</t>
  </si>
  <si>
    <t>строительство новых тепловых сетей в целях подключения потребителей</t>
  </si>
  <si>
    <t>строительство иных объектов теплоснабжения за исключением тепловых сетей в целях подключения потребителей</t>
  </si>
  <si>
    <t>увеличение пропускной способности существующих тепловых сетей в целях подключения потребителей</t>
  </si>
  <si>
    <t>увеличение мощности и производительности существующих объектов теплоснабжения за исключением тепловых сетей в целях подключения потребителей</t>
  </si>
  <si>
    <t>реконструкция или модернизация существующих тепловых сетей</t>
  </si>
  <si>
    <t>реконструкция или модернизация существующих объектов теплоснабжения за исключением тепловых сетей</t>
  </si>
  <si>
    <t>вывод из эксплуатации, консервация и демонтаж иных объектов теплоснабжения, за исключением тепловых сетей</t>
  </si>
  <si>
    <t>Строительство новых объектов теплоснабжения, не связанных с подключением (технологическим присоединением) новых потребителей, в том числе строительство новых тепловых сетей</t>
  </si>
  <si>
    <t>modInstruction</t>
  </si>
  <si>
    <t>modfrmCheckUpdates</t>
  </si>
  <si>
    <t>вывод из эксплуатации, консервация и демонтаж тепловых сетей</t>
  </si>
  <si>
    <t>Мероприятия, направленные на повышение энергоэффективности в сфере теплоснабжения</t>
  </si>
  <si>
    <t>ip_list</t>
  </si>
  <si>
    <t>Собственные средства</t>
  </si>
  <si>
    <t>1.1</t>
  </si>
  <si>
    <t>1.2</t>
  </si>
  <si>
    <t>Амортизационные отчисления</t>
  </si>
  <si>
    <t>1.3</t>
  </si>
  <si>
    <t>Прочие собственные средства</t>
  </si>
  <si>
    <t>Привлеченные средства</t>
  </si>
  <si>
    <t>2.1</t>
  </si>
  <si>
    <t>Кредиты</t>
  </si>
  <si>
    <t>2.2</t>
  </si>
  <si>
    <t>Займы</t>
  </si>
  <si>
    <t>2.3</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</si>
  <si>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</si>
  <si>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</si>
  <si>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</si>
  <si>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</si>
  <si>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</si>
  <si>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</si>
  <si>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4.1</t>
  </si>
  <si>
    <t>Лизинг</t>
  </si>
  <si>
    <t>4.2</t>
  </si>
  <si>
    <t>Прочие</t>
  </si>
  <si>
    <t>Прибыль направляемая на инвестиции</t>
  </si>
  <si>
    <t>begin_year_list</t>
  </si>
  <si>
    <t>2003</t>
  </si>
  <si>
    <t>2004</t>
  </si>
  <si>
    <t>2005</t>
  </si>
  <si>
    <t>2006</t>
  </si>
  <si>
    <t>2007</t>
  </si>
  <si>
    <t>2008</t>
  </si>
  <si>
    <t>2009</t>
  </si>
  <si>
    <t>2010</t>
  </si>
  <si>
    <t>2011</t>
  </si>
  <si>
    <t>2012</t>
  </si>
  <si>
    <t>2013</t>
  </si>
  <si>
    <t>all_year_list</t>
  </si>
  <si>
    <t>Период реализации согласно ИП, лет</t>
  </si>
  <si>
    <t>г.Севастополь</t>
  </si>
  <si>
    <t>Республика Крым</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</si>
  <si>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</si>
  <si>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Консультации:</t>
  </si>
  <si>
    <t>Обратиться за помощью</t>
  </si>
  <si>
    <t>Перейти</t>
  </si>
  <si>
    <t>Отчётные формы:</t>
  </si>
  <si>
    <t>Перейти к разделу</t>
  </si>
  <si>
    <t>Контакты специалистов ЦА ФАС России:</t>
  </si>
  <si>
    <t>Руководство по загрузке документов</t>
  </si>
  <si>
    <t>Тип муниципального образования</t>
  </si>
  <si>
    <t>Плановый год ввода в эксплуатацию / выполнения мероприятия</t>
  </si>
  <si>
    <t>Стадия выполнения, %</t>
  </si>
  <si>
    <t>1</t>
  </si>
  <si>
    <t>spr_pok_kach</t>
  </si>
  <si>
    <t>по организации</t>
  </si>
  <si>
    <t>по отдельным мероприятиям</t>
  </si>
  <si>
    <t>по организации и мероприятиям</t>
  </si>
  <si>
    <t>2031</t>
  </si>
  <si>
    <t>2032</t>
  </si>
  <si>
    <t>modfrmRegion</t>
  </si>
  <si>
    <t>mod_00</t>
  </si>
  <si>
    <t>mod_01</t>
  </si>
  <si>
    <t>et_ws_01_obj</t>
  </si>
  <si>
    <t>ИП утверждена с НДС</t>
  </si>
  <si>
    <t>Наименование ИП</t>
  </si>
  <si>
    <t>Объект инфраструктуры ТЭ</t>
  </si>
  <si>
    <t>Добавить объект инфраструктуры</t>
  </si>
  <si>
    <t>Внесены изменения по источникам финансирования</t>
  </si>
  <si>
    <t>Добавить мероприятие</t>
  </si>
  <si>
    <t>et_ws_01_m</t>
  </si>
  <si>
    <t>et_ws_01_ifin</t>
  </si>
  <si>
    <t>Комментарий</t>
  </si>
  <si>
    <t>et_com</t>
  </si>
  <si>
    <t>Причина прекращения действия ИП</t>
  </si>
  <si>
    <t>2033</t>
  </si>
  <si>
    <t>spr_ip_end_list</t>
  </si>
  <si>
    <t>прекращение финансирования</t>
  </si>
  <si>
    <t>выполнение ИП ранее заявленного срока</t>
  </si>
  <si>
    <t>Ссылка на обосновывающие материалы (ИП прекратила действие)</t>
  </si>
  <si>
    <t>spr_ip_type_list</t>
  </si>
  <si>
    <t>новая ИП</t>
  </si>
  <si>
    <t>продолжение ИП</t>
  </si>
  <si>
    <t>прекращение действия ИП</t>
  </si>
  <si>
    <t>Всего утверждено на весь период реализации ИП (план)</t>
  </si>
  <si>
    <t>Всего утверждено на весь период реализации ИП (уточненный план)</t>
  </si>
  <si>
    <t>Всего утверждено на весь период реализации ИП (дельта)</t>
  </si>
  <si>
    <t xml:space="preserve">Всего утверждено на предыдущий период реализации ИП </t>
  </si>
  <si>
    <t>mod_com</t>
  </si>
  <si>
    <t>Тип отчета</t>
  </si>
  <si>
    <t>spr_type_report</t>
  </si>
  <si>
    <t>план</t>
  </si>
  <si>
    <t>корректировка</t>
  </si>
  <si>
    <t>Данные по источникам финансирования для объекта инфраструктуры или мероприятия в целом</t>
  </si>
  <si>
    <t>Наименование объекта</t>
  </si>
  <si>
    <t>Тип объекта</t>
  </si>
  <si>
    <t>Адрес объекта</t>
  </si>
  <si>
    <t>Населенный пункт</t>
  </si>
  <si>
    <t>улица, проезд, проспект, переулок, и т.п.</t>
  </si>
  <si>
    <t>дом, корпус, строение</t>
  </si>
  <si>
    <t>Территория оказания услуг</t>
  </si>
  <si>
    <t>№ объекта</t>
  </si>
  <si>
    <t>№ источника</t>
  </si>
  <si>
    <t>1.4</t>
  </si>
  <si>
    <t>Дата начала ИП</t>
  </si>
  <si>
    <t>Дата окончания ИП</t>
  </si>
  <si>
    <t>Территории ИП</t>
  </si>
  <si>
    <t>modHTTP</t>
  </si>
  <si>
    <t>REESTR_IP</t>
  </si>
  <si>
    <t>Территории оказания услуг, на которых утверждена ИП</t>
  </si>
  <si>
    <t>Добавить территорию</t>
  </si>
  <si>
    <t>et_ws_02_1</t>
  </si>
  <si>
    <t>За счет платы за технологическое присоединение</t>
  </si>
  <si>
    <t>Показатели качества и надежности</t>
  </si>
  <si>
    <t>mod_02</t>
  </si>
  <si>
    <t>REESTR_OBJECT</t>
  </si>
  <si>
    <t>Результат проверки наличия данных</t>
  </si>
  <si>
    <t>Статус ИП</t>
  </si>
  <si>
    <t>Наименование решения</t>
  </si>
  <si>
    <t>Тип решения</t>
  </si>
  <si>
    <t>Номер решения</t>
  </si>
  <si>
    <t>Дата решения</t>
  </si>
  <si>
    <t>Поиск данных в ручном режиме</t>
  </si>
  <si>
    <t>Наименование (описание) обособленного подразделения</t>
  </si>
  <si>
    <t>spr_ip_type_list_c</t>
  </si>
  <si>
    <t>корректировка финансирования ИП</t>
  </si>
  <si>
    <t>корректировка наименования ИП</t>
  </si>
  <si>
    <t>корректировка периода ИП</t>
  </si>
  <si>
    <t>Описание причины прекращения действия ИП</t>
  </si>
  <si>
    <t>5</t>
  </si>
  <si>
    <t>Изменения ИП</t>
  </si>
  <si>
    <t>Всего утверждено на весь период реализации ИП (корректировка)</t>
  </si>
  <si>
    <t>Инструкция по заполнению</t>
  </si>
  <si>
    <t>Обосновывающие материалы необходимо загружать с помощью "ЕИАС Мониторинг":</t>
  </si>
  <si>
    <t>Общая инструкция по заполнению отчетной формы:</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</si>
  <si>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</si>
  <si>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Мероприятия по концессионному соглашению</t>
  </si>
  <si>
    <t>spr_ks</t>
  </si>
  <si>
    <r>
      <t>ИП содержит </t>
    </r>
    <r>
      <rPr>
        <b/>
        <sz val="10"/>
        <color rgb="FF000000"/>
        <rFont val="Source Sans Pro"/>
        <family val="2"/>
        <charset val="204"/>
      </rPr>
      <t>только</t>
    </r>
    <r>
      <rPr>
        <sz val="10"/>
        <color rgb="FF000000"/>
        <rFont val="Source Sans Pro"/>
        <family val="2"/>
        <charset val="204"/>
      </rPr>
      <t> мероприятия, реализуемые в рамках КС</t>
    </r>
  </si>
  <si>
    <t>ИП не содержит мероприятия, реализуемые в рамках КС</t>
  </si>
  <si>
    <t>ИП, в том числе содержит мероприятия, реализуемые в рамках КС</t>
  </si>
  <si>
    <t>Ссылка на обосновывающие материалы (Изменения ИП)</t>
  </si>
  <si>
    <t>корректировка данных организации</t>
  </si>
  <si>
    <t>6</t>
  </si>
  <si>
    <t>7</t>
  </si>
  <si>
    <t>REESTR_TER</t>
  </si>
  <si>
    <t>REESTR_STOP_REASON</t>
  </si>
  <si>
    <t>modCheckCyan</t>
  </si>
  <si>
    <t>modHyp</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</si>
  <si>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t>
  </si>
  <si>
    <t>В рамках концессионного соглашения</t>
  </si>
  <si>
    <t>Всего в рамках ИП</t>
  </si>
  <si>
    <t>Всего в рамках КС</t>
  </si>
  <si>
    <t>Корректировка НВВ в связи с неисполнением ИП</t>
  </si>
  <si>
    <t>Дата начала</t>
  </si>
  <si>
    <t>Дата окончания</t>
  </si>
  <si>
    <t>Наименование концессионного соглашения</t>
  </si>
  <si>
    <t>Наименование решения по КС</t>
  </si>
  <si>
    <t>Тип решения по КС</t>
  </si>
  <si>
    <t>№ решения по КС</t>
  </si>
  <si>
    <t>Дата принятия решения по КС</t>
  </si>
  <si>
    <t>8</t>
  </si>
  <si>
    <t>корректировка мероприятий</t>
  </si>
  <si>
    <t>REESTR_CNCSN</t>
  </si>
  <si>
    <t>if</t>
  </si>
  <si>
    <t>obj</t>
  </si>
  <si>
    <t>корректировка объектов инфраструктуры</t>
  </si>
  <si>
    <t>корректировка территорий, на которых утверждена ИП</t>
  </si>
  <si>
    <t xml:space="preserve">Расходы на капитальные вложения (инвестиции), тыс.руб.
</t>
  </si>
  <si>
    <t>spr_type</t>
  </si>
  <si>
    <t>et_ws_01_obj_lock</t>
  </si>
  <si>
    <t>et_ws_01_m_lock</t>
  </si>
  <si>
    <t>Ссылка на обосновывающие материалы (на дату утверждения ИП)</t>
  </si>
  <si>
    <t>et_ws_01_ifin_lock</t>
  </si>
  <si>
    <t>REESTR_IP_2019</t>
  </si>
  <si>
    <t>Факт за прошлые периоды</t>
  </si>
  <si>
    <t>Лапкин Антон Олегович</t>
  </si>
  <si>
    <t>lapkin@fas.gov.ru</t>
  </si>
  <si>
    <t>Алибегов Рустам Кахриманович</t>
  </si>
  <si>
    <t>alibegov@fas.gov.ru</t>
  </si>
  <si>
    <t>Проверка доступных обновлений...</t>
  </si>
  <si>
    <t>Информация</t>
  </si>
  <si>
    <t>Нет доступных обновлений для отчёта с кодом INV.WARM.2020YEAR!</t>
  </si>
  <si>
    <t>L_NAME</t>
  </si>
  <si>
    <t>L_START_DATE</t>
  </si>
  <si>
    <t>L_END_DATE</t>
  </si>
  <si>
    <t>L_IP_COSTS</t>
  </si>
  <si>
    <t>ORG_NAME</t>
  </si>
  <si>
    <t>INN_NAME</t>
  </si>
  <si>
    <t>KPP_NAME</t>
  </si>
  <si>
    <t>L_OPF</t>
  </si>
  <si>
    <t>FIL_NAME</t>
  </si>
  <si>
    <t>VDET_NAME</t>
  </si>
  <si>
    <t>RST_ORG_ID</t>
  </si>
  <si>
    <t>L_DECISION_NAME</t>
  </si>
  <si>
    <t>L_DECISION_TYPE</t>
  </si>
  <si>
    <t>L_DECISION_NMBR</t>
  </si>
  <si>
    <t>L_DECISION_DATE</t>
  </si>
  <si>
    <t>L_DECISION_URL</t>
  </si>
  <si>
    <t>Инвестиционная программа № 66/11 от 30.10.2018 Общество с ограниченной ответственностью "Теплосервис" в сфере теплоснабжения по реконструкции магистральных сетей, на территории городского поселения Город Бакал, Саткинский муниципальный район на 2019-2023 годы</t>
  </si>
  <si>
    <t>01.01.2019</t>
  </si>
  <si>
    <t>31.12.2023</t>
  </si>
  <si>
    <t>447,35</t>
  </si>
  <si>
    <t>Общество с ограниченной ответственностью "Теплосервис"</t>
  </si>
  <si>
    <t>7457006526</t>
  </si>
  <si>
    <t>745701001</t>
  </si>
  <si>
    <t>1 23 00 | Общества с ограниченной ответственностью</t>
  </si>
  <si>
    <t>Передача :: Сбыт</t>
  </si>
  <si>
    <t>31006016</t>
  </si>
  <si>
    <t>Об утверждении инвестиционной программы ООО «Теплосервис» на 2019 - 2023 годы</t>
  </si>
  <si>
    <t>постановление</t>
  </si>
  <si>
    <t>66/11</t>
  </si>
  <si>
    <t>30.10.2018</t>
  </si>
  <si>
    <t>https://portal.eias.ru/Portal/DownloadPage.aspx?type=12&amp;guid=562ea7c6-10ab-4b6b-a5b4-4be41a37b005</t>
  </si>
  <si>
    <t>Инвестиционная программа № 80/1/1 от 30.10.2019 МУП "Челябинские коммунальные тепловые сети" в сфере теплоснабжения в отношении котельных и тепловых сетей, на территории городского округа Челябинск на 2020-2022 годы</t>
  </si>
  <si>
    <t>01.01.2020</t>
  </si>
  <si>
    <t>31.12.2022</t>
  </si>
  <si>
    <t>8941</t>
  </si>
  <si>
    <t>МУП "Челябинские коммунальные тепловые сети"</t>
  </si>
  <si>
    <t>7448005075</t>
  </si>
  <si>
    <t>745301001</t>
  </si>
  <si>
    <t>6 52 43 | Муниципальные унитарные предприятия</t>
  </si>
  <si>
    <t>26639646</t>
  </si>
  <si>
    <t>МУП «ЧКТС» в сфере теплоснабжения на 2020-2022 годы</t>
  </si>
  <si>
    <t>80/1/1</t>
  </si>
  <si>
    <t>31.10.2019</t>
  </si>
  <si>
    <t>https://portal.eias.ru/Portal/DownloadPage.aspx?type=12&amp;guid=ed805b37-492b-4227-8078-dd0c74a53d53</t>
  </si>
  <si>
    <t>88457</t>
  </si>
  <si>
    <t>Некомбинированное производство :: Передача :: Сбыт</t>
  </si>
  <si>
    <t>30/10/2019</t>
  </si>
  <si>
    <t>144429</t>
  </si>
  <si>
    <t>Передача</t>
  </si>
  <si>
    <t>30.10.2019</t>
  </si>
  <si>
    <t>Инвестиционная программа № 80/23 от 29.10.2019 ПАО "Фортум" в сфере теплоснабжения в отношении единого комплекса объектов, на территории городского округа Челябинск на 2020-2023 годы</t>
  </si>
  <si>
    <t>0</t>
  </si>
  <si>
    <t>ПАО "Фортум"</t>
  </si>
  <si>
    <t>7203162698</t>
  </si>
  <si>
    <t>997150001</t>
  </si>
  <si>
    <t>1 22 47 | Публичные акционерные общества</t>
  </si>
  <si>
    <t>Комбинированное производство, более 25 МВт</t>
  </si>
  <si>
    <t>26551662</t>
  </si>
  <si>
    <t>в сфере теплоснабжения на 2020-2023 годы</t>
  </si>
  <si>
    <t>80/23</t>
  </si>
  <si>
    <t>29.10.2019</t>
  </si>
  <si>
    <t>https://portal.eias.ru/Portal/DownloadPage.aspx?type=12&amp;guid=5fa14ad9-12be-42b7-8d2e-d69e74cb634f</t>
  </si>
  <si>
    <t>Инвестиционная программа № 80/24 от 29.10.2019 АО "УСТЭК-Челябинск" в сфере теплоснабжения в отношении котельных и тепловых сетей, на территории городского округа Челябинск на 2020-2022 годы</t>
  </si>
  <si>
    <t>35142,8080368415</t>
  </si>
  <si>
    <t>АО "УСТЭК-Челябинск"</t>
  </si>
  <si>
    <t>7453320202</t>
  </si>
  <si>
    <t>1 22 67 | Непубличные акционерные общества</t>
  </si>
  <si>
    <t>31211886</t>
  </si>
  <si>
    <t>Об утверждении инвестиционной программы АО «УСТЭК-Челябинск» в сфере теплоснабжения на 2020-2022 годы</t>
  </si>
  <si>
    <t>80/24</t>
  </si>
  <si>
    <t>https://portal.eias.ru/Portal/DownloadPage.aspx?type=12&amp;guid=751b72d1-bee4-4a3f-a787-f62e1560bbc6</t>
  </si>
  <si>
    <t>Инвестиционная программа АО «ЭнСер» на 2016 - 2020 гг.</t>
  </si>
  <si>
    <t>01.01.2016</t>
  </si>
  <si>
    <t>31.12.2020</t>
  </si>
  <si>
    <t>4287,01</t>
  </si>
  <si>
    <t>АО "ЭнСер"</t>
  </si>
  <si>
    <t>7415036215</t>
  </si>
  <si>
    <t>741501001</t>
  </si>
  <si>
    <t>26768533</t>
  </si>
  <si>
    <t>АО «ЭнСер» на 2016 - 2020 гг.</t>
  </si>
  <si>
    <t>51/18</t>
  </si>
  <si>
    <t>28.10.2015</t>
  </si>
  <si>
    <t>https://portal.eias.ru/Portal/DownloadPage.aspx?type=12&amp;guid=94af99b8-aabd-4b4a-8a2b-527964f561a3</t>
  </si>
  <si>
    <t>Инвестиционная программа МП трест «Теплофикация» на 2016 - 2027 гг.</t>
  </si>
  <si>
    <t>31.12.2027</t>
  </si>
  <si>
    <t>МП трест "Теплофикация"</t>
  </si>
  <si>
    <t>7414000657</t>
  </si>
  <si>
    <t>744501001</t>
  </si>
  <si>
    <t>26360617</t>
  </si>
  <si>
    <t>Инвестиционная программа МП трест "Теплофикация" в сфере теплоснабжения на 2016-2027.</t>
  </si>
  <si>
    <t>51/22</t>
  </si>
  <si>
    <t>https://portal.eias.ru/Portal/DownloadPage.aspx?type=12&amp;guid=0cb5ea7c-3469-41f2-9d1f-3c9176d316a5</t>
  </si>
  <si>
    <t>Инвестиционная программа ОАО «Челябоблкоммунэнерго» на 2016-2020 гг</t>
  </si>
  <si>
    <t>409,18186</t>
  </si>
  <si>
    <t>АО "Челябоблкоммунэнерго"</t>
  </si>
  <si>
    <t>7447019075</t>
  </si>
  <si>
    <t>744701001</t>
  </si>
  <si>
    <t>26575455</t>
  </si>
  <si>
    <t>О внесении изменения в постановление МТРиЭ Челябинской области от 28.10.2015г. №51/21</t>
  </si>
  <si>
    <t>85/1</t>
  </si>
  <si>
    <t>19.11.2019</t>
  </si>
  <si>
    <t>https://portal.eias.ru/Portal/DownloadPage.aspx?type=12&amp;guid=43dbe2e0-1b75-48f2-be37-7ea11717c365</t>
  </si>
  <si>
    <t>6094,5054989024</t>
  </si>
  <si>
    <t>Инвестиционная программа ООО "Теплосети" Верхнеуфалейского городского округа в сфере теплоснабжения на 2018-2026 годы</t>
  </si>
  <si>
    <t>01.01.2018</t>
  </si>
  <si>
    <t>31.12.2026</t>
  </si>
  <si>
    <t>163,8272757096</t>
  </si>
  <si>
    <t>ООО "Теплосети"</t>
  </si>
  <si>
    <t>7402008362</t>
  </si>
  <si>
    <t>740201001</t>
  </si>
  <si>
    <t>26816119</t>
  </si>
  <si>
    <t>Инвестиционная программа ООО "Теплосети" Верхнеуфалейского городского округа в сфере теплоснабжения на 2018-2026 гг.</t>
  </si>
  <si>
    <t>52/2</t>
  </si>
  <si>
    <t>30.11.2017</t>
  </si>
  <si>
    <t>https://portal.eias.ru/Portal/DownloadPage.aspx?type=12&amp;guid=64a9332b-5df4-4852-b520-f3de3a51c842</t>
  </si>
  <si>
    <t>Инвестиционная программа от 28.10.2015 АО "Энергосистемы" в сфере теплоснабжения и горячего водоснабжения по организации мероприятий, направленных на повышение экологической эффективности, надежности, качества и бесперебойности тепловых сетей, на территории городского поселения Город Сатка, Саткинский муниципальный район на 2016-2020 годы</t>
  </si>
  <si>
    <t>15201,192</t>
  </si>
  <si>
    <t>АО "Энергосистемы"</t>
  </si>
  <si>
    <t>7417011223</t>
  </si>
  <si>
    <t>26360640</t>
  </si>
  <si>
    <t>Постановление</t>
  </si>
  <si>
    <t>https://portal.eias.ru/Portal/DownloadPage.aspx?type=12&amp;guid=b7c57814-930d-4008-a0c6-f92c34074c1f</t>
  </si>
  <si>
    <t>Инвестиционная программа от 30.10.2018 АО "Челябкоммунэнерго" в сфере теплоснабжения по реконструкции и модернизации существующих объектов котельных и тепловых сетей на 2019-2022 годы</t>
  </si>
  <si>
    <t>91,6274</t>
  </si>
  <si>
    <t>АО "Челябкоммунэнерго"</t>
  </si>
  <si>
    <t>7451194577</t>
  </si>
  <si>
    <t>744801001</t>
  </si>
  <si>
    <t>26644971</t>
  </si>
  <si>
    <t>Об утверждении инвестиционной программы АО "Челябкоммунэнерго" на 2019-2022гг.</t>
  </si>
  <si>
    <t>3/4</t>
  </si>
  <si>
    <t>23.01.2020</t>
  </si>
  <si>
    <t>https://portal.eias.ru/Portal/DownloadPage.aspx?type=12&amp;guid=8570c62e-0e7d-4137-8dd0-beb56585c776</t>
  </si>
  <si>
    <t>Инвестиционная программа от 30.10.2018 ООО «Перспектива» в сфере теплоснабжения в отношении объектов, на территории городского округа  на 2018-2032 годы</t>
  </si>
  <si>
    <t>31.12.2032</t>
  </si>
  <si>
    <t>ООО «Перспектива»</t>
  </si>
  <si>
    <t>7449070380</t>
  </si>
  <si>
    <t>28460139</t>
  </si>
  <si>
    <t>ООО «Перспектива» на 2018-2032 гг.</t>
  </si>
  <si>
    <t>66/12</t>
  </si>
  <si>
    <t>https://portal.eias.ru/Portal/DownloadPage.aspx?type=12&amp;guid=addc70d2-d41c-45ce-94ae-249e10e4899b</t>
  </si>
  <si>
    <t>MR_NAME</t>
  </si>
  <si>
    <t>MO_NAME</t>
  </si>
  <si>
    <t>OKTMO_NAME</t>
  </si>
  <si>
    <t>TYPE</t>
  </si>
  <si>
    <t>Агаповский муниципальный район</t>
  </si>
  <si>
    <t>75603000</t>
  </si>
  <si>
    <t>муниципальный район</t>
  </si>
  <si>
    <t>Агаповское</t>
  </si>
  <si>
    <t>75603407</t>
  </si>
  <si>
    <t>сельское поселение</t>
  </si>
  <si>
    <t>Буранное</t>
  </si>
  <si>
    <t>75603411</t>
  </si>
  <si>
    <t>Желтинское</t>
  </si>
  <si>
    <t>75603422</t>
  </si>
  <si>
    <t>Магнитное</t>
  </si>
  <si>
    <t>75603433</t>
  </si>
  <si>
    <t>Наровчатское</t>
  </si>
  <si>
    <t>75603436</t>
  </si>
  <si>
    <t>Первомайское</t>
  </si>
  <si>
    <t>75603444</t>
  </si>
  <si>
    <t>Приморское</t>
  </si>
  <si>
    <t>75603455</t>
  </si>
  <si>
    <t>Светлогорское</t>
  </si>
  <si>
    <t>75603466</t>
  </si>
  <si>
    <t>Черниговское</t>
  </si>
  <si>
    <t>75603472</t>
  </si>
  <si>
    <t>Янгельское</t>
  </si>
  <si>
    <t>75603477</t>
  </si>
  <si>
    <t>Аргаяшский муниципальный район</t>
  </si>
  <si>
    <t>75606000</t>
  </si>
  <si>
    <t>Акбашевское</t>
  </si>
  <si>
    <t>75606410</t>
  </si>
  <si>
    <t>Аргаяшское</t>
  </si>
  <si>
    <t>75606412</t>
  </si>
  <si>
    <t>Аязгуловское</t>
  </si>
  <si>
    <t>75606420</t>
  </si>
  <si>
    <t>Байрамгуловское</t>
  </si>
  <si>
    <t>75606433</t>
  </si>
  <si>
    <t>Дербишевское</t>
  </si>
  <si>
    <t>75606440</t>
  </si>
  <si>
    <t>Ишалинское</t>
  </si>
  <si>
    <t>75606445</t>
  </si>
  <si>
    <t>Камышевское</t>
  </si>
  <si>
    <t>75606450</t>
  </si>
  <si>
    <t>Кузнецкое</t>
  </si>
  <si>
    <t>75606460</t>
  </si>
  <si>
    <t>Кулуевское</t>
  </si>
  <si>
    <t>75606470</t>
  </si>
  <si>
    <t>Норкинское</t>
  </si>
  <si>
    <t>75606480</t>
  </si>
  <si>
    <t>Худайбердинское</t>
  </si>
  <si>
    <t>75606490</t>
  </si>
  <si>
    <t>Яраткуловское</t>
  </si>
  <si>
    <t>75606498</t>
  </si>
  <si>
    <t>Ашинский муниципальный район</t>
  </si>
  <si>
    <t>75609000</t>
  </si>
  <si>
    <t>Биянское</t>
  </si>
  <si>
    <t>75609411</t>
  </si>
  <si>
    <t>Город Аша</t>
  </si>
  <si>
    <t>75609101</t>
  </si>
  <si>
    <t>городское поселение, в состав которого входит город</t>
  </si>
  <si>
    <t>Город Миньяр</t>
  </si>
  <si>
    <t>75609103</t>
  </si>
  <si>
    <t>Город Сим</t>
  </si>
  <si>
    <t>75609105</t>
  </si>
  <si>
    <t>Еральское</t>
  </si>
  <si>
    <t>75609422</t>
  </si>
  <si>
    <t>Илекское</t>
  </si>
  <si>
    <t>75609433</t>
  </si>
  <si>
    <t>Поселок Кропачево</t>
  </si>
  <si>
    <t>75609153</t>
  </si>
  <si>
    <t>городское поселение, в состав которого входит поселок</t>
  </si>
  <si>
    <t>Точильнинское</t>
  </si>
  <si>
    <t>75609444</t>
  </si>
  <si>
    <t>Укское</t>
  </si>
  <si>
    <t>75609477</t>
  </si>
  <si>
    <t>Брединский муниципальный район</t>
  </si>
  <si>
    <t>75612000</t>
  </si>
  <si>
    <t>Андреевское</t>
  </si>
  <si>
    <t>75612410</t>
  </si>
  <si>
    <t>Атамановское</t>
  </si>
  <si>
    <t>75612412</t>
  </si>
  <si>
    <t>Белокаменское</t>
  </si>
  <si>
    <t>75612420</t>
  </si>
  <si>
    <t>Боровское</t>
  </si>
  <si>
    <t>75612430</t>
  </si>
  <si>
    <t>Брединское</t>
  </si>
  <si>
    <t>75612432</t>
  </si>
  <si>
    <t>Калининское</t>
  </si>
  <si>
    <t>75612440</t>
  </si>
  <si>
    <t>Княженское</t>
  </si>
  <si>
    <t>75612450</t>
  </si>
  <si>
    <t>Комсомольское</t>
  </si>
  <si>
    <t>75612460</t>
  </si>
  <si>
    <t>Наследницкое</t>
  </si>
  <si>
    <t>75612470</t>
  </si>
  <si>
    <t>Павловское</t>
  </si>
  <si>
    <t>75612480</t>
  </si>
  <si>
    <t>Рымникское</t>
  </si>
  <si>
    <t>75612490</t>
  </si>
  <si>
    <t>Варненский муниципальный район</t>
  </si>
  <si>
    <t>75614000</t>
  </si>
  <si>
    <t>Алексеевское</t>
  </si>
  <si>
    <t>75614405</t>
  </si>
  <si>
    <t>Аятское</t>
  </si>
  <si>
    <t>75614410</t>
  </si>
  <si>
    <t>Бородиновское</t>
  </si>
  <si>
    <t>75614415</t>
  </si>
  <si>
    <t>Варненское</t>
  </si>
  <si>
    <t>75614420</t>
  </si>
  <si>
    <t>Казановское</t>
  </si>
  <si>
    <t>75614422</t>
  </si>
  <si>
    <t>Катенинское</t>
  </si>
  <si>
    <t>75614423</t>
  </si>
  <si>
    <t>Краснооктябрьское</t>
  </si>
  <si>
    <t>75614425</t>
  </si>
  <si>
    <t>Кулевчинское</t>
  </si>
  <si>
    <t>75614430</t>
  </si>
  <si>
    <t>Лейпцигское</t>
  </si>
  <si>
    <t>75614435</t>
  </si>
  <si>
    <t>Николаевское</t>
  </si>
  <si>
    <t>75614440</t>
  </si>
  <si>
    <t>Новоуральское</t>
  </si>
  <si>
    <t>75614445</t>
  </si>
  <si>
    <t>Покровское</t>
  </si>
  <si>
    <t>75614450</t>
  </si>
  <si>
    <t>Толстинское</t>
  </si>
  <si>
    <t>75614455</t>
  </si>
  <si>
    <t>Верхнеуральский муниципальный район</t>
  </si>
  <si>
    <t>75617000</t>
  </si>
  <si>
    <t>Город Верхнеуральск</t>
  </si>
  <si>
    <t>75617101</t>
  </si>
  <si>
    <t>Карагайское</t>
  </si>
  <si>
    <t>75617422</t>
  </si>
  <si>
    <t>Кирсинское</t>
  </si>
  <si>
    <t>75617433</t>
  </si>
  <si>
    <t>Краснинское</t>
  </si>
  <si>
    <t>75617444</t>
  </si>
  <si>
    <t>Петропавловское</t>
  </si>
  <si>
    <t>75617455</t>
  </si>
  <si>
    <t>Поселок Межозерный</t>
  </si>
  <si>
    <t>75617153</t>
  </si>
  <si>
    <t>Спасское</t>
  </si>
  <si>
    <t>75617466</t>
  </si>
  <si>
    <t>Степное</t>
  </si>
  <si>
    <t>75617477</t>
  </si>
  <si>
    <t>Сурменевское</t>
  </si>
  <si>
    <t>75617479</t>
  </si>
  <si>
    <t>Форштадское</t>
  </si>
  <si>
    <t>75617488</t>
  </si>
  <si>
    <t>Город Верхний Уфалей</t>
  </si>
  <si>
    <t>75706000</t>
  </si>
  <si>
    <t>городской округ</t>
  </si>
  <si>
    <t>Город Златоуст</t>
  </si>
  <si>
    <t>75712000</t>
  </si>
  <si>
    <t>Город Карабаш</t>
  </si>
  <si>
    <t>75715000</t>
  </si>
  <si>
    <t>Город Копейск</t>
  </si>
  <si>
    <t>75728000</t>
  </si>
  <si>
    <t>Город Кыштым</t>
  </si>
  <si>
    <t>75734000</t>
  </si>
  <si>
    <t>Город Магнитогорск</t>
  </si>
  <si>
    <t>75738000</t>
  </si>
  <si>
    <t>Город Миасс</t>
  </si>
  <si>
    <t>75742000</t>
  </si>
  <si>
    <t>Город Озерск (ЗАТО)</t>
  </si>
  <si>
    <t>75743000</t>
  </si>
  <si>
    <t>Город Снежинск (ЗАТО)</t>
  </si>
  <si>
    <t>75746000</t>
  </si>
  <si>
    <t>Город Трехгорный (ЗАТО)</t>
  </si>
  <si>
    <t>75707000</t>
  </si>
  <si>
    <t>Город Троицк</t>
  </si>
  <si>
    <t>75752000</t>
  </si>
  <si>
    <t>Город Усть-Катав</t>
  </si>
  <si>
    <t>75755000</t>
  </si>
  <si>
    <t>Город Чебаркуль</t>
  </si>
  <si>
    <t>75758000</t>
  </si>
  <si>
    <t>Город Челябинск</t>
  </si>
  <si>
    <t>75701000</t>
  </si>
  <si>
    <t>Калининский</t>
  </si>
  <si>
    <t>75701310</t>
  </si>
  <si>
    <t>внутригородской район</t>
  </si>
  <si>
    <t>Курчатовский</t>
  </si>
  <si>
    <t>75701315</t>
  </si>
  <si>
    <t>Ленинский</t>
  </si>
  <si>
    <t>75701320</t>
  </si>
  <si>
    <t>Металлургический</t>
  </si>
  <si>
    <t>75701330</t>
  </si>
  <si>
    <t>Советский</t>
  </si>
  <si>
    <t>75701370</t>
  </si>
  <si>
    <t>Тракторозаводский</t>
  </si>
  <si>
    <t>75701380</t>
  </si>
  <si>
    <t>Центральный</t>
  </si>
  <si>
    <t>75701390</t>
  </si>
  <si>
    <t>Город Южноуральск</t>
  </si>
  <si>
    <t>75764000</t>
  </si>
  <si>
    <t>Еманжелинский муниципальный район</t>
  </si>
  <si>
    <t>75619000</t>
  </si>
  <si>
    <t>Город Еманжелинск</t>
  </si>
  <si>
    <t>75619101</t>
  </si>
  <si>
    <t>Поселок Зауральский</t>
  </si>
  <si>
    <t>75619152</t>
  </si>
  <si>
    <t>Поселок Красногорский</t>
  </si>
  <si>
    <t>75619154</t>
  </si>
  <si>
    <t>Еткульский муниципальный район</t>
  </si>
  <si>
    <t>75620000</t>
  </si>
  <si>
    <t>Бектышское</t>
  </si>
  <si>
    <t>75620408</t>
  </si>
  <si>
    <t>Белоносовское</t>
  </si>
  <si>
    <t>75620410</t>
  </si>
  <si>
    <t>Белоусовское</t>
  </si>
  <si>
    <t>75620412</t>
  </si>
  <si>
    <t>Еманжелинское</t>
  </si>
  <si>
    <t>75620420</t>
  </si>
  <si>
    <t>Еткульское</t>
  </si>
  <si>
    <t>75620430</t>
  </si>
  <si>
    <t>Каратабанское</t>
  </si>
  <si>
    <t>75620440</t>
  </si>
  <si>
    <t>Коелгинское</t>
  </si>
  <si>
    <t>75620450</t>
  </si>
  <si>
    <t>Лебедевское</t>
  </si>
  <si>
    <t>75620460</t>
  </si>
  <si>
    <t>Новобатуринское</t>
  </si>
  <si>
    <t>75620465</t>
  </si>
  <si>
    <t>Печенкинское</t>
  </si>
  <si>
    <t>75620470</t>
  </si>
  <si>
    <t>Пискловское</t>
  </si>
  <si>
    <t>75620480</t>
  </si>
  <si>
    <t>Селезянское</t>
  </si>
  <si>
    <t>75620490</t>
  </si>
  <si>
    <t>Карталинский муниципальный район</t>
  </si>
  <si>
    <t>75623000</t>
  </si>
  <si>
    <t>Анненское</t>
  </si>
  <si>
    <t>75623405</t>
  </si>
  <si>
    <t>Варшавское</t>
  </si>
  <si>
    <t>75623410</t>
  </si>
  <si>
    <t>Великопетровское</t>
  </si>
  <si>
    <t>75623415</t>
  </si>
  <si>
    <t>Город Карталы</t>
  </si>
  <si>
    <t>75623101</t>
  </si>
  <si>
    <t>Еленинское</t>
  </si>
  <si>
    <t>75623420</t>
  </si>
  <si>
    <t>Мичуринское</t>
  </si>
  <si>
    <t>75623425</t>
  </si>
  <si>
    <t>Неплюевское</t>
  </si>
  <si>
    <t>75623428</t>
  </si>
  <si>
    <t>Полтавское</t>
  </si>
  <si>
    <t>75623435</t>
  </si>
  <si>
    <t>Снежненское</t>
  </si>
  <si>
    <t>75623440</t>
  </si>
  <si>
    <t>Сухореченское</t>
  </si>
  <si>
    <t>75623445</t>
  </si>
  <si>
    <t>Южно-Степное</t>
  </si>
  <si>
    <t>75623450</t>
  </si>
  <si>
    <t>Каслинский муниципальный район</t>
  </si>
  <si>
    <t>75626000</t>
  </si>
  <si>
    <t>Багарякское</t>
  </si>
  <si>
    <t>75626405</t>
  </si>
  <si>
    <t>Береговое</t>
  </si>
  <si>
    <t>75626410</t>
  </si>
  <si>
    <t>Булзинское</t>
  </si>
  <si>
    <t>75626415</t>
  </si>
  <si>
    <t>Воздвиженское сельское поселение</t>
  </si>
  <si>
    <t>75626420</t>
  </si>
  <si>
    <t>Город Касли</t>
  </si>
  <si>
    <t>75626101</t>
  </si>
  <si>
    <t>Григорьевское сельское поселение</t>
  </si>
  <si>
    <t>75626425</t>
  </si>
  <si>
    <t>Маукское</t>
  </si>
  <si>
    <t>75626430</t>
  </si>
  <si>
    <t>Огневское</t>
  </si>
  <si>
    <t>75626435</t>
  </si>
  <si>
    <t>Поселок Вишневогорск</t>
  </si>
  <si>
    <t>75626153</t>
  </si>
  <si>
    <t>Тюбукское</t>
  </si>
  <si>
    <t>75626440</t>
  </si>
  <si>
    <t>Шабуровское</t>
  </si>
  <si>
    <t>75626445</t>
  </si>
  <si>
    <t>Катав-Ивановский муниципальный район</t>
  </si>
  <si>
    <t>75629000</t>
  </si>
  <si>
    <t>Бедярышское</t>
  </si>
  <si>
    <t>75629411</t>
  </si>
  <si>
    <t>Верх-Катавское</t>
  </si>
  <si>
    <t>75629422</t>
  </si>
  <si>
    <t>Город Катав-Ивановск</t>
  </si>
  <si>
    <t>75629101</t>
  </si>
  <si>
    <t>Город Юрюзань</t>
  </si>
  <si>
    <t>75629116</t>
  </si>
  <si>
    <t>Лесное</t>
  </si>
  <si>
    <t>75629430</t>
  </si>
  <si>
    <t>Месединское</t>
  </si>
  <si>
    <t>75629433</t>
  </si>
  <si>
    <t>Орловское</t>
  </si>
  <si>
    <t>75629451</t>
  </si>
  <si>
    <t>Серпиевское</t>
  </si>
  <si>
    <t>75629455</t>
  </si>
  <si>
    <t>Тюлюкское</t>
  </si>
  <si>
    <t>75629477</t>
  </si>
  <si>
    <t>Кизильский муниципальный район</t>
  </si>
  <si>
    <t>75632000</t>
  </si>
  <si>
    <t>Богдановское</t>
  </si>
  <si>
    <t>75632410</t>
  </si>
  <si>
    <t>Гранитное</t>
  </si>
  <si>
    <t>75632420</t>
  </si>
  <si>
    <t>Зингейское</t>
  </si>
  <si>
    <t>75632430</t>
  </si>
  <si>
    <t>Измайловское</t>
  </si>
  <si>
    <t>75632440</t>
  </si>
  <si>
    <t>Карабулакское</t>
  </si>
  <si>
    <t>75632443</t>
  </si>
  <si>
    <t>Кацбахское</t>
  </si>
  <si>
    <t>75632446</t>
  </si>
  <si>
    <t>Кизильское</t>
  </si>
  <si>
    <t>75632450</t>
  </si>
  <si>
    <t>Новоершовское</t>
  </si>
  <si>
    <t>75632456</t>
  </si>
  <si>
    <t>Новопокровское</t>
  </si>
  <si>
    <t>75632458</t>
  </si>
  <si>
    <t>Обручевское</t>
  </si>
  <si>
    <t>75632460</t>
  </si>
  <si>
    <t>Полоцкое</t>
  </si>
  <si>
    <t>75632470</t>
  </si>
  <si>
    <t>Путь Октября</t>
  </si>
  <si>
    <t>75632480</t>
  </si>
  <si>
    <t>Сыртинское</t>
  </si>
  <si>
    <t>75632490</t>
  </si>
  <si>
    <t>Уральское</t>
  </si>
  <si>
    <t>75632493</t>
  </si>
  <si>
    <t>Коркинский муниципальный район</t>
  </si>
  <si>
    <t>75633000</t>
  </si>
  <si>
    <t>Город Коркино</t>
  </si>
  <si>
    <t>75633101</t>
  </si>
  <si>
    <t>Поселок Первомайский</t>
  </si>
  <si>
    <t>75633154</t>
  </si>
  <si>
    <t>Розинское</t>
  </si>
  <si>
    <t>75633156</t>
  </si>
  <si>
    <t>Красноармейский муниципальный район</t>
  </si>
  <si>
    <t>75634000</t>
  </si>
  <si>
    <t>Алабугское</t>
  </si>
  <si>
    <t>75634405</t>
  </si>
  <si>
    <t>Баландинское</t>
  </si>
  <si>
    <t>75634408</t>
  </si>
  <si>
    <t>Березовское</t>
  </si>
  <si>
    <t>75634410</t>
  </si>
  <si>
    <t>Бродокалмакское</t>
  </si>
  <si>
    <t>75634415</t>
  </si>
  <si>
    <t>Дубровское</t>
  </si>
  <si>
    <t>75634417</t>
  </si>
  <si>
    <t>Канашевское</t>
  </si>
  <si>
    <t>75634420</t>
  </si>
  <si>
    <t>Козыревское</t>
  </si>
  <si>
    <t>75634425</t>
  </si>
  <si>
    <t>Лазурненское</t>
  </si>
  <si>
    <t>75634430</t>
  </si>
  <si>
    <t>Луговское</t>
  </si>
  <si>
    <t>75634435</t>
  </si>
  <si>
    <t>Миасское</t>
  </si>
  <si>
    <t>75634440</t>
  </si>
  <si>
    <t>Озерное</t>
  </si>
  <si>
    <t>75634445</t>
  </si>
  <si>
    <t>Русско-Теченское</t>
  </si>
  <si>
    <t>75634450</t>
  </si>
  <si>
    <t>Сугоякское</t>
  </si>
  <si>
    <t>75634455</t>
  </si>
  <si>
    <t>Теренкульское</t>
  </si>
  <si>
    <t>75634457</t>
  </si>
  <si>
    <t>Шумовское</t>
  </si>
  <si>
    <t>75634460</t>
  </si>
  <si>
    <t>Кунашакский муниципальный район</t>
  </si>
  <si>
    <t>75636000</t>
  </si>
  <si>
    <t>Ашировское</t>
  </si>
  <si>
    <t>75636410</t>
  </si>
  <si>
    <t>Буринское</t>
  </si>
  <si>
    <t>75636420</t>
  </si>
  <si>
    <t>Кунашакское</t>
  </si>
  <si>
    <t>75636430</t>
  </si>
  <si>
    <t>Куяшское</t>
  </si>
  <si>
    <t>75636440</t>
  </si>
  <si>
    <t>Муслюмовское</t>
  </si>
  <si>
    <t>75636450</t>
  </si>
  <si>
    <t>Саринское</t>
  </si>
  <si>
    <t>75636460</t>
  </si>
  <si>
    <t>Урукульское</t>
  </si>
  <si>
    <t>75636470</t>
  </si>
  <si>
    <t>Усть-Багарякское</t>
  </si>
  <si>
    <t>75636480</t>
  </si>
  <si>
    <t>Халитовское</t>
  </si>
  <si>
    <t>75636490</t>
  </si>
  <si>
    <t>Кусинский муниципальный район</t>
  </si>
  <si>
    <t>75638000</t>
  </si>
  <si>
    <t>Город Куса</t>
  </si>
  <si>
    <t>75638101</t>
  </si>
  <si>
    <t>Злоказавское</t>
  </si>
  <si>
    <t>75638411</t>
  </si>
  <si>
    <t>Медведевское</t>
  </si>
  <si>
    <t>75638422</t>
  </si>
  <si>
    <t>75638433</t>
  </si>
  <si>
    <t>Поселок Магнитка</t>
  </si>
  <si>
    <t>75638153</t>
  </si>
  <si>
    <t>Нагайбакский муниципальный район</t>
  </si>
  <si>
    <t>75642000</t>
  </si>
  <si>
    <t>Арсинское</t>
  </si>
  <si>
    <t>75642410</t>
  </si>
  <si>
    <t>Балканское</t>
  </si>
  <si>
    <t>75642420</t>
  </si>
  <si>
    <t>Кассельское</t>
  </si>
  <si>
    <t>75642430</t>
  </si>
  <si>
    <t>Куликовское</t>
  </si>
  <si>
    <t>75642440</t>
  </si>
  <si>
    <t>Нагайбакское</t>
  </si>
  <si>
    <t>75642450</t>
  </si>
  <si>
    <t>Остроленское</t>
  </si>
  <si>
    <t>75642460</t>
  </si>
  <si>
    <t>Парижское</t>
  </si>
  <si>
    <t>75642470</t>
  </si>
  <si>
    <t>Переселенческое</t>
  </si>
  <si>
    <t>75642480</t>
  </si>
  <si>
    <t>Поселок Южный</t>
  </si>
  <si>
    <t>75642154</t>
  </si>
  <si>
    <t>Фершампенуазское</t>
  </si>
  <si>
    <t>75642490</t>
  </si>
  <si>
    <t>Нязепетровский муниципальный район</t>
  </si>
  <si>
    <t>75644000</t>
  </si>
  <si>
    <t>Город Нязепетровск</t>
  </si>
  <si>
    <t>75644101</t>
  </si>
  <si>
    <t>Гривенское</t>
  </si>
  <si>
    <t>75644411</t>
  </si>
  <si>
    <t>Кургинское</t>
  </si>
  <si>
    <t>75644422</t>
  </si>
  <si>
    <t>Ункурдинское</t>
  </si>
  <si>
    <t>75644433</t>
  </si>
  <si>
    <t>Шемахинское</t>
  </si>
  <si>
    <t>75644444</t>
  </si>
  <si>
    <t>Октябрьский муниципальный район</t>
  </si>
  <si>
    <t>75647000</t>
  </si>
  <si>
    <t>Боровое</t>
  </si>
  <si>
    <t>75647405</t>
  </si>
  <si>
    <t>Каракульское</t>
  </si>
  <si>
    <t>75647410</t>
  </si>
  <si>
    <t>Кочердыкское</t>
  </si>
  <si>
    <t>75647415</t>
  </si>
  <si>
    <t>Крутоярское</t>
  </si>
  <si>
    <t>75647420</t>
  </si>
  <si>
    <t>Лысковское</t>
  </si>
  <si>
    <t>75647425</t>
  </si>
  <si>
    <t>Маякское</t>
  </si>
  <si>
    <t>75647430</t>
  </si>
  <si>
    <t>Мяконькское</t>
  </si>
  <si>
    <t>75647435</t>
  </si>
  <si>
    <t>Никольское</t>
  </si>
  <si>
    <t>75647440</t>
  </si>
  <si>
    <t>Октябрьское</t>
  </si>
  <si>
    <t>75647445</t>
  </si>
  <si>
    <t>Подовинное</t>
  </si>
  <si>
    <t>75647450</t>
  </si>
  <si>
    <t>Свободненское</t>
  </si>
  <si>
    <t>75647455</t>
  </si>
  <si>
    <t>Уйско-Чебаркульское</t>
  </si>
  <si>
    <t>75647460</t>
  </si>
  <si>
    <t>Чудиновское</t>
  </si>
  <si>
    <t>75647465</t>
  </si>
  <si>
    <t>Пластовский муниципальный район</t>
  </si>
  <si>
    <t>75648000</t>
  </si>
  <si>
    <t>Борисовское</t>
  </si>
  <si>
    <t>75648403</t>
  </si>
  <si>
    <t>Город Пласт</t>
  </si>
  <si>
    <t>75648101</t>
  </si>
  <si>
    <t>Демаринское</t>
  </si>
  <si>
    <t>75648406</t>
  </si>
  <si>
    <t>Кочкарское</t>
  </si>
  <si>
    <t>75648409</t>
  </si>
  <si>
    <t>Степнинское</t>
  </si>
  <si>
    <t>75648420</t>
  </si>
  <si>
    <t>Поселок Локомотивный (ЗАТО)</t>
  </si>
  <si>
    <t>75759000</t>
  </si>
  <si>
    <t>Саткинский муниципальный район</t>
  </si>
  <si>
    <t>75649000</t>
  </si>
  <si>
    <t>Айлинское</t>
  </si>
  <si>
    <t>75649411</t>
  </si>
  <si>
    <t>Город Бакал</t>
  </si>
  <si>
    <t>75649103</t>
  </si>
  <si>
    <t>Город Сатка</t>
  </si>
  <si>
    <t>75649101</t>
  </si>
  <si>
    <t>Поселок Бердяуш</t>
  </si>
  <si>
    <t>75649153</t>
  </si>
  <si>
    <t>Поселок Межевой</t>
  </si>
  <si>
    <t>75649158</t>
  </si>
  <si>
    <t>Поселок Сулея</t>
  </si>
  <si>
    <t>75649162</t>
  </si>
  <si>
    <t>Романовское сельское поселение</t>
  </si>
  <si>
    <t>75649433</t>
  </si>
  <si>
    <t>Сосновский муниципальный район</t>
  </si>
  <si>
    <t>75652000</t>
  </si>
  <si>
    <t>Алишевское</t>
  </si>
  <si>
    <t>75652405</t>
  </si>
  <si>
    <t>Архангельское</t>
  </si>
  <si>
    <t>75652406</t>
  </si>
  <si>
    <t>Вознесенское</t>
  </si>
  <si>
    <t>75652408</t>
  </si>
  <si>
    <t>Долгодеревенское</t>
  </si>
  <si>
    <t>75652410</t>
  </si>
  <si>
    <t>Есаульское</t>
  </si>
  <si>
    <t>75652415</t>
  </si>
  <si>
    <t>Краснопольское</t>
  </si>
  <si>
    <t>75652420</t>
  </si>
  <si>
    <t>Кременкульское</t>
  </si>
  <si>
    <t>75652425</t>
  </si>
  <si>
    <t>Мирненское</t>
  </si>
  <si>
    <t>75652430</t>
  </si>
  <si>
    <t>Новый Кременкуль</t>
  </si>
  <si>
    <t>75652432</t>
  </si>
  <si>
    <t>Полетаевское</t>
  </si>
  <si>
    <t>75652434</t>
  </si>
  <si>
    <t>Рощинское</t>
  </si>
  <si>
    <t>75652435</t>
  </si>
  <si>
    <t>Саккуловское</t>
  </si>
  <si>
    <t>75652440</t>
  </si>
  <si>
    <t>Саргазинское</t>
  </si>
  <si>
    <t>75652445</t>
  </si>
  <si>
    <t>Солнечное</t>
  </si>
  <si>
    <t>75652450</t>
  </si>
  <si>
    <t>Теченское</t>
  </si>
  <si>
    <t>75652452</t>
  </si>
  <si>
    <t>Томинское</t>
  </si>
  <si>
    <t>75652455</t>
  </si>
  <si>
    <t>Троицкий муниципальный район</t>
  </si>
  <si>
    <t>75654000</t>
  </si>
  <si>
    <t>Белозерское</t>
  </si>
  <si>
    <t>75654405</t>
  </si>
  <si>
    <t>Бобровское</t>
  </si>
  <si>
    <t>75654410</t>
  </si>
  <si>
    <t>Дробышевское</t>
  </si>
  <si>
    <t>75654415</t>
  </si>
  <si>
    <t>Карсинское</t>
  </si>
  <si>
    <t>75654422</t>
  </si>
  <si>
    <t>Ключевское</t>
  </si>
  <si>
    <t>75654425</t>
  </si>
  <si>
    <t>Клястицкое</t>
  </si>
  <si>
    <t>75654430</t>
  </si>
  <si>
    <t>Кособродское</t>
  </si>
  <si>
    <t>75654435</t>
  </si>
  <si>
    <t>Нижнесанарское</t>
  </si>
  <si>
    <t>75654440</t>
  </si>
  <si>
    <t>Новомирское</t>
  </si>
  <si>
    <t>75654443</t>
  </si>
  <si>
    <t>Песчанское</t>
  </si>
  <si>
    <t>75654445</t>
  </si>
  <si>
    <t>Родниковское</t>
  </si>
  <si>
    <t>75654450</t>
  </si>
  <si>
    <t>Троицко-Совхозное</t>
  </si>
  <si>
    <t>75654460</t>
  </si>
  <si>
    <t>Шантаринское</t>
  </si>
  <si>
    <t>75654463</t>
  </si>
  <si>
    <t>Яснополянское</t>
  </si>
  <si>
    <t>75654465</t>
  </si>
  <si>
    <t>Увельский муниципальный район</t>
  </si>
  <si>
    <t>75655000</t>
  </si>
  <si>
    <t>Каменское</t>
  </si>
  <si>
    <t>75655411</t>
  </si>
  <si>
    <t>Кичигинское</t>
  </si>
  <si>
    <t>75655422</t>
  </si>
  <si>
    <t>Красносельское</t>
  </si>
  <si>
    <t>75655433</t>
  </si>
  <si>
    <t>Мордвиновское</t>
  </si>
  <si>
    <t>75655438</t>
  </si>
  <si>
    <t>Петровское</t>
  </si>
  <si>
    <t>75655444</t>
  </si>
  <si>
    <t>Половинское</t>
  </si>
  <si>
    <t>75655455</t>
  </si>
  <si>
    <t>Рождественское</t>
  </si>
  <si>
    <t>75655466</t>
  </si>
  <si>
    <t>Увельское</t>
  </si>
  <si>
    <t>75655472</t>
  </si>
  <si>
    <t>Хомутининское</t>
  </si>
  <si>
    <t>75655477</t>
  </si>
  <si>
    <t>Хуторское</t>
  </si>
  <si>
    <t>75655488</t>
  </si>
  <si>
    <t>Уйский муниципальный район</t>
  </si>
  <si>
    <t>75656000</t>
  </si>
  <si>
    <t>Аминевское</t>
  </si>
  <si>
    <t>75656411</t>
  </si>
  <si>
    <t>Беловское</t>
  </si>
  <si>
    <t>75656422</t>
  </si>
  <si>
    <t>Вандышевское</t>
  </si>
  <si>
    <t>75656433</t>
  </si>
  <si>
    <t>Кидышевское</t>
  </si>
  <si>
    <t>75656444</t>
  </si>
  <si>
    <t>Кумлякское</t>
  </si>
  <si>
    <t>75656446</t>
  </si>
  <si>
    <t>Ларинское</t>
  </si>
  <si>
    <t>75656455</t>
  </si>
  <si>
    <t>Масловское</t>
  </si>
  <si>
    <t>75656460</t>
  </si>
  <si>
    <t>Нижнеуцелемовское</t>
  </si>
  <si>
    <t>75656466</t>
  </si>
  <si>
    <t>75656408</t>
  </si>
  <si>
    <t>Соколовское</t>
  </si>
  <si>
    <t>75656477</t>
  </si>
  <si>
    <t>Уйское</t>
  </si>
  <si>
    <t>75656488</t>
  </si>
  <si>
    <t>Чебаркульский муниципальный район</t>
  </si>
  <si>
    <t>75657000</t>
  </si>
  <si>
    <t>Бишкильское</t>
  </si>
  <si>
    <t>75657411</t>
  </si>
  <si>
    <t>Варламовское</t>
  </si>
  <si>
    <t>75657415</t>
  </si>
  <si>
    <t>Кундравинское</t>
  </si>
  <si>
    <t>75657425</t>
  </si>
  <si>
    <t>Непряхинское</t>
  </si>
  <si>
    <t>75657440</t>
  </si>
  <si>
    <t>Сарафановское</t>
  </si>
  <si>
    <t>75657450</t>
  </si>
  <si>
    <t>Тимирязевское</t>
  </si>
  <si>
    <t>75657455</t>
  </si>
  <si>
    <t>Травниковское</t>
  </si>
  <si>
    <t>75657460</t>
  </si>
  <si>
    <t>Филимоновское</t>
  </si>
  <si>
    <t>75657470</t>
  </si>
  <si>
    <t>Шахматовское</t>
  </si>
  <si>
    <t>75657490</t>
  </si>
  <si>
    <t>Чесменский муниципальный район</t>
  </si>
  <si>
    <t>75659000</t>
  </si>
  <si>
    <t>Березинское</t>
  </si>
  <si>
    <t>75659410</t>
  </si>
  <si>
    <t>Калиновское</t>
  </si>
  <si>
    <t>75659430</t>
  </si>
  <si>
    <t>75659438</t>
  </si>
  <si>
    <t>Новоукраинское</t>
  </si>
  <si>
    <t>75659440</t>
  </si>
  <si>
    <t>Редутовское</t>
  </si>
  <si>
    <t>75659442</t>
  </si>
  <si>
    <t>Светловское</t>
  </si>
  <si>
    <t>75659420</t>
  </si>
  <si>
    <t>Тарасовское</t>
  </si>
  <si>
    <t>75659445</t>
  </si>
  <si>
    <t>Тарутинское</t>
  </si>
  <si>
    <t>75659450</t>
  </si>
  <si>
    <t>Углицкое</t>
  </si>
  <si>
    <t>75659460</t>
  </si>
  <si>
    <t>Цвиллингское</t>
  </si>
  <si>
    <t>75659470</t>
  </si>
  <si>
    <t>Черноборское</t>
  </si>
  <si>
    <t>75659480</t>
  </si>
  <si>
    <t>Чесменское</t>
  </si>
  <si>
    <t>75659490</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</si>
  <si>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</si>
  <si>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</si>
  <si>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</si>
  <si>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</si>
  <si>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</si>
  <si>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</si>
  <si>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</si>
  <si>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</si>
  <si>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</si>
  <si>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</si>
  <si>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</si>
  <si>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</si>
  <si>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</si>
  <si>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</si>
  <si>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</si>
  <si>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</si>
  <si>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</si>
  <si>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</si>
  <si>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</si>
  <si>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</si>
  <si>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</si>
  <si>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</si>
  <si>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</si>
  <si>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</si>
  <si>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</si>
  <si>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</si>
  <si>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</si>
  <si>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</si>
  <si>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MO_LIST_30</t>
  </si>
  <si>
    <t>MO_LIST_31</t>
  </si>
  <si>
    <t>MO_LIST_32</t>
  </si>
  <si>
    <t>MO_LIST_33</t>
  </si>
  <si>
    <t>MO_LIST_34</t>
  </si>
  <si>
    <t>MO_LIST_35</t>
  </si>
  <si>
    <t>MO_LIST_36</t>
  </si>
  <si>
    <t>MO_LIST_37</t>
  </si>
  <si>
    <t>MO_LIST_38</t>
  </si>
  <si>
    <t>MO_LIST_39</t>
  </si>
  <si>
    <t>MO_LIST_40</t>
  </si>
  <si>
    <t>MO_LIST_41</t>
  </si>
  <si>
    <t>MO_LIST_42</t>
  </si>
  <si>
    <t>MO_LIST_43</t>
  </si>
  <si>
    <t>MO_LIST_44</t>
  </si>
  <si>
    <t>МР</t>
  </si>
  <si>
    <t>МО</t>
  </si>
  <si>
    <t>МО_ОКТМО</t>
  </si>
  <si>
    <t>МО_ТИП</t>
  </si>
  <si>
    <t>ИМЯ ДИАПАЗОНА</t>
  </si>
  <si>
    <t>ID</t>
  </si>
  <si>
    <t>NAME</t>
  </si>
  <si>
    <t>808</t>
  </si>
  <si>
    <t>807</t>
  </si>
  <si>
    <t>ул. Энгельса, дом 3, г. Челябинск, Челябинская область, РФ, 454080</t>
  </si>
  <si>
    <t>Крылов В.А.</t>
  </si>
  <si>
    <t xml:space="preserve">Технический директор </t>
  </si>
  <si>
    <t>+7 (351) 246-57-16</t>
  </si>
  <si>
    <t>info@ustekchel.ru</t>
  </si>
  <si>
    <t>О</t>
  </si>
  <si>
    <t>LGL_ID</t>
  </si>
  <si>
    <t>NOMER_NAME</t>
  </si>
  <si>
    <t>NOMER2_NAME</t>
  </si>
  <si>
    <t>NMOB_NAME</t>
  </si>
  <si>
    <t>DET_NAME</t>
  </si>
  <si>
    <t>L_ADDRESS_MR</t>
  </si>
  <si>
    <t>L_ADDRESS_MO</t>
  </si>
  <si>
    <t>L_ADDRESS_OKTMO</t>
  </si>
  <si>
    <t>L_ADDRESS_LOCATION</t>
  </si>
  <si>
    <t>L_ADDRESS_LOC_OKTMO</t>
  </si>
  <si>
    <t>L_ADDRESS_STREET</t>
  </si>
  <si>
    <t>L_ADDRESS_BUILDING</t>
  </si>
  <si>
    <t>DET2_NAME</t>
  </si>
  <si>
    <t>LOCATION_NAME</t>
  </si>
  <si>
    <t>LOCATION_OKTMO_NAME</t>
  </si>
  <si>
    <t>4946637199</t>
  </si>
  <si>
    <t>Тепловые сети АО "УСТЭК-Челябинск", присоединенные к ЧТЭЦ-3</t>
  </si>
  <si>
    <t>сеть</t>
  </si>
  <si>
    <t>г Челябинск</t>
  </si>
  <si>
    <t>75701000001</t>
  </si>
  <si>
    <t>г. Челябинск</t>
  </si>
  <si>
    <t>Северо-Западная котельная</t>
  </si>
  <si>
    <t>ТИ</t>
  </si>
  <si>
    <t>Молодогвардейцев</t>
  </si>
  <si>
    <t>Тепловые сети АО "УСТЭК-Челябинск", присоединенные к ЧТЭЦ-4</t>
  </si>
  <si>
    <t>Тепловые сети АО "УСТЭК-Челябинск", присоединенные к источникам АО "УСТЭК-Челябинск"</t>
  </si>
  <si>
    <t>Юго-Западная котельная</t>
  </si>
  <si>
    <t>Троицкий тракт</t>
  </si>
  <si>
    <t>11 б</t>
  </si>
  <si>
    <t>Тепловые сети АО "УСТЭК-Челябинск", присоединенные к ТК "Западная"</t>
  </si>
  <si>
    <t>Тепловые сети АО "УСТЭК-Челябинск", присоединенные к ЧТЭЦ-1</t>
  </si>
  <si>
    <t>Тепловые сети АО "УСТЭК-Челябинск", присоединенные к ЧТЭЦ-2</t>
  </si>
  <si>
    <t>9</t>
  </si>
  <si>
    <t>10</t>
  </si>
  <si>
    <t>11</t>
  </si>
  <si>
    <t>12</t>
  </si>
  <si>
    <t>13</t>
  </si>
  <si>
    <t>14</t>
  </si>
  <si>
    <t>15</t>
  </si>
  <si>
    <t>16</t>
  </si>
  <si>
    <t>3.2.1. Реконструкция ГРП с заменой регуляторов давления газа 1-й и 2-й нитки Северо-западной котельной</t>
  </si>
  <si>
    <t>3.2.2. Реконструкция оборудования ГРП Юго-западной котельной с заменой регуляторов, предохранительно-сбросных клапанов, арматуры</t>
  </si>
  <si>
    <t>3.2.3. Реконструкция сетевых трубопроводов Ду 800 мм с заменой арматуры от коллекторной ЮЗК до границы участка территории котельной</t>
  </si>
  <si>
    <t>3.2.4. Реконструкция нефтеловушки и фильтрационной насосной ЮЗК</t>
  </si>
  <si>
    <t>3.2.5. Реконструкция водовода Ду 700 мм Юго-западной котельной</t>
  </si>
  <si>
    <t>3.2.6. Установка регистратора аварийных событий ПС 110кВ СЗК</t>
  </si>
  <si>
    <t>3.2.7. Реконструкция оборудования КИПиА водогрейного котлов и общекотельного оборудования Юго-западной котельной</t>
  </si>
  <si>
    <t>3.2.8. Реконструкция оборудования КИПиА водогрейного котлов и общекотельного оборудования Северо-западной котельной</t>
  </si>
  <si>
    <t>3.2.9. Реконструкция автоматики систем управления основным и вспомогательным оборудованием Юго-западной котельной</t>
  </si>
  <si>
    <t>3.2.10. Реконструкция автоматики систем управления основным и вспомогательным оборудованием Северо-западной котельной</t>
  </si>
  <si>
    <t>3.2.11. Замена разъединителей 110кВ и ограничителей перенапряжения (ОПН)</t>
  </si>
  <si>
    <t>3.2.12. Замена выключателей 110кВ на ПС ЮЗК</t>
  </si>
  <si>
    <t>3.2.13. Реконструкция и автоматизация ПНС-6 с заменой сетевых насосов (1 этап).</t>
  </si>
  <si>
    <t>3.2.14. Реконструкция и автоматизация ПНС-6 с заменой сетевых насосов (2 этап).</t>
  </si>
  <si>
    <t>3.2.15. Реконструкция ЦТП Сельмаш с переводом в понизительный режим</t>
  </si>
  <si>
    <t xml:space="preserve">3.2.16. Реконструкция ЦТП ЗМК с переводом в понизительный режим </t>
  </si>
  <si>
    <t>без привязки к объекту</t>
  </si>
  <si>
    <t>Не определено</t>
  </si>
  <si>
    <t>17</t>
  </si>
  <si>
    <t>1.1.1. Проектирование и строительство разводящих сетей для подключения перспективных приростов 118,438 Гкал/ч</t>
  </si>
  <si>
    <t>1.3.1. Реконструкция участка т/т от ТК-30-2-5 до ТК30-2-2 с Ду=700мм до Ду=1000 мм,Lк=323,3м.(ООО Гринфлайт)</t>
  </si>
  <si>
    <t>1.3.2. Реконструкция 5 т/м ТЭЦ-4 от Т.5а до ТК-10 длиной 717м Ду800</t>
  </si>
  <si>
    <t>1.3.3. Реконструкция 2 т/м от т.А в сторону т.1а длиной 152м., Ду1000</t>
  </si>
  <si>
    <t>1.3.4. Реконструкция 5 т/м ТЭЦ-4 от т.12 до ТК-13 длиной 135 м Ду800</t>
  </si>
  <si>
    <t>1.3.5. Реконструкция 2 т/м от точки между т.А и т.1а до т.3 длиной 328м., Ду1000</t>
  </si>
  <si>
    <t>1.3.6. Реконструкция участка 1 т/м от ТК-4 до ТК-7 Потемкина длиной 398м, Ду500</t>
  </si>
  <si>
    <t>1.3.12. реконструкция т/м ТЭЦ-1-Колющенко с 2Ду800 на 2Ду1000, от тк-1 до тк-7а, длиной-579м</t>
  </si>
  <si>
    <t>1.3.13. реконструкция т/м ТЭЦ-1-Колющенко с 2Ду800 на 2Ду1000, от тк-7а до тк-8, длиной- 149м</t>
  </si>
  <si>
    <t>1.3.14. реконструкция т/м ТЭЦ-1-Колющенко с 2Ду800 на 2Ду1000, от тк-8 до тк-9, длиной- 130м</t>
  </si>
  <si>
    <t>1.3.15. Реконструкция по ул. Работниц от ТК-30-16 до Т.30-14 с Ду 400 мм на Ду 500 мм L=70 м.</t>
  </si>
  <si>
    <t>1.3.16. Строительство теплотрассы от ТК 85-51 до т/трассы 2 Ду700, Lк=50м в зоне действия ТЭЦ-4</t>
  </si>
  <si>
    <t>18</t>
  </si>
  <si>
    <t>2.1. Строительство перемычки между ТК-8 на т/м ЧТПЗ и Т.46 на т/м ЧКПЗ Ду 700 мм длиной 50 м</t>
  </si>
  <si>
    <t>19</t>
  </si>
  <si>
    <t>20</t>
  </si>
  <si>
    <t>21</t>
  </si>
  <si>
    <t>22</t>
  </si>
  <si>
    <t>23</t>
  </si>
  <si>
    <t>24</t>
  </si>
  <si>
    <t>25</t>
  </si>
  <si>
    <t>26</t>
  </si>
  <si>
    <t>27</t>
  </si>
  <si>
    <t>28</t>
  </si>
  <si>
    <t>29</t>
  </si>
  <si>
    <t>30</t>
  </si>
  <si>
    <t>3.1.3. Реконструкция участка т/м ЧТПЗ от ТК27 до ТК31 по ул. Батумская-Суркова, Ду720, Lк=496м в ППУ изоляции</t>
  </si>
  <si>
    <t xml:space="preserve">3.1.4. Реконструкция участка т/м ТЭЦ-Бажова от Т.16-2 до Т.16-10 2Ду 500 мм Lк= 628 м по ул. Ловина в ППУ изоляции </t>
  </si>
  <si>
    <t>3.1.5. Реконструкция участка тепловой сети от ТК17а3-ТК10-24 ул.Монакова, с Ду400мм на Ду273,Lк=350м в ППУ изоляции</t>
  </si>
  <si>
    <t xml:space="preserve">3.1.6. Реконструкция теплотрассы от ТК-33 до ТК-33-6 по пер. Лермонтова, Ду250/200 мм, Lк=432/114 м в ППУ изоляции </t>
  </si>
  <si>
    <t xml:space="preserve">3.1.10. Реконструкция 1 т/м СЗК от ЦТП-22 до ТК 57 по ул. Молодогвардейцев 2Ду500мм, Lк=163м </t>
  </si>
  <si>
    <t>31</t>
  </si>
  <si>
    <t>32</t>
  </si>
  <si>
    <t>33</t>
  </si>
  <si>
    <t>34</t>
  </si>
  <si>
    <t>35</t>
  </si>
  <si>
    <t>36</t>
  </si>
  <si>
    <t>37</t>
  </si>
  <si>
    <t>38</t>
  </si>
  <si>
    <t>39</t>
  </si>
  <si>
    <t>40</t>
  </si>
  <si>
    <t>41</t>
  </si>
  <si>
    <t>42</t>
  </si>
  <si>
    <t>43</t>
  </si>
  <si>
    <t>44</t>
  </si>
  <si>
    <t>45</t>
  </si>
  <si>
    <t>46</t>
  </si>
  <si>
    <t>47</t>
  </si>
  <si>
    <t>48</t>
  </si>
  <si>
    <t>49</t>
  </si>
  <si>
    <t>50</t>
  </si>
  <si>
    <t xml:space="preserve">3.1.15. Реконструкция участка т/м ТЭЦ-1-Новороссийская-Порт-2 от ТК15 до ТК17 2Ду 500 мм Lк=200 м по ул. Барбюса в ППУ изоляции </t>
  </si>
  <si>
    <t>3.1.19. Реконструкция участка теплотрассы по ул. Танкистов от ТК-18 до ТК-22, Ду500 мм, Lк=600м в ППУ изоляции </t>
  </si>
  <si>
    <t>3.1.20. Реконструкция участка теплотрассы от ТК-21 по ул. Танкистов до ТК-21-2 по ул. Октябрьская, Ду500 мм, Lк=200м в ППУ изоляции.</t>
  </si>
  <si>
    <t xml:space="preserve">3.1.21. Реконструкция участка 1т/м ТЭЦ-3  по Пр. Победы  от  ТК-11в до ТК 11б  Ду 500 мм  Lк= 108 м </t>
  </si>
  <si>
    <t>3.1.22. Реконструкция участка 4 т/м ЧГРЭС по ул. Островского от опуска ТК 42 до ТК 21 Ду 500 мм  Lк=140 м</t>
  </si>
  <si>
    <t>3.1.25. Реконструкция участка т/м ЧТЭЦ-1 - КБС от ТК26 до ТК36 по ул.Гагарина в ППУ изоляции 2Д530 Lк463</t>
  </si>
  <si>
    <t>3.1.26. Реконструкция участка т/м ЧТЭЦ-1 - Новороссийская от ТК36 до ТК40 по ул.Гагарина в ППУ изоляции 2Д530 Lк310</t>
  </si>
  <si>
    <t>3.1.27. Реконструкция участка т/м ЧТЭЦ-1 - Колющенко от ТК19 до ТК19-6 по ул.Вагнера в ППУ изоляции 2Д426 Lк441</t>
  </si>
  <si>
    <t>51</t>
  </si>
  <si>
    <t>52</t>
  </si>
  <si>
    <t>53</t>
  </si>
  <si>
    <t>54</t>
  </si>
  <si>
    <t>55</t>
  </si>
  <si>
    <t>56</t>
  </si>
  <si>
    <t>57</t>
  </si>
  <si>
    <t>58</t>
  </si>
  <si>
    <t>59</t>
  </si>
  <si>
    <t>60</t>
  </si>
  <si>
    <t>61</t>
  </si>
  <si>
    <t>62</t>
  </si>
  <si>
    <t>63</t>
  </si>
  <si>
    <t>64</t>
  </si>
  <si>
    <t>65</t>
  </si>
  <si>
    <t>66</t>
  </si>
  <si>
    <t>67</t>
  </si>
  <si>
    <t>68</t>
  </si>
  <si>
    <t>69</t>
  </si>
  <si>
    <t>70</t>
  </si>
  <si>
    <t>3.1.41. Реконструкция участка 1 т/м СЗК от ТК 96 до ТК 45 2Ду 700 мм Lк=614 мв ППУ изоляции по Комсомольскому проспекту</t>
  </si>
  <si>
    <t xml:space="preserve">3.1.42. Реконструкция участка теплотрассы ТЭЦ-1 -ЧКПЗ от ТК-61 до ТК-62а по ул. Новороссийской в ППУ изоляции Ду500мм, Lк=120м </t>
  </si>
  <si>
    <t xml:space="preserve">3.1.43. Реконструкция участка тепловой сети от ТК68 - ТК71а ул. С. Татьяничевой, Ду350 мм, Lк=345м в ППУ изоляции </t>
  </si>
  <si>
    <t>3.1.44. Реконструкция 5 т/м ЧГРЭС ТК31-ТК34 по ул. 3 Интернационала, Ду700, Lк=330м</t>
  </si>
  <si>
    <t>3.1.45. Реконструкция I т\м СЗК от ТК-14 до ТК-12 Ду800мм, Lк=362м по Комсомольскому пр.в ППУ изоляции</t>
  </si>
  <si>
    <t>3.1.46. Реконструкция III т\м СЗК от ТК-107 до ЦТП-26мкр. Ду400, Lк=82м по ул.40 лет Победы в ППУ изоляции</t>
  </si>
  <si>
    <t>3.1.49. Реконструкция участка т/тр от ТК29 до ТК31Б по ул. Шуменской, Ду530, Lк=560м в ППУ изоляции</t>
  </si>
  <si>
    <t xml:space="preserve">3.1.50. Реконструкция участка т/тр от ТК74 доТК80 по ул. Бр. Кашириных, Ду720, Lк=920м Ду=530,Lк=75м в ППУ изоляции </t>
  </si>
  <si>
    <t>71</t>
  </si>
  <si>
    <t>72</t>
  </si>
  <si>
    <t>73</t>
  </si>
  <si>
    <t>74</t>
  </si>
  <si>
    <t>75</t>
  </si>
  <si>
    <t>76</t>
  </si>
  <si>
    <t>77</t>
  </si>
  <si>
    <t>78</t>
  </si>
  <si>
    <t>79</t>
  </si>
  <si>
    <t>80</t>
  </si>
  <si>
    <t>81</t>
  </si>
  <si>
    <t>82</t>
  </si>
  <si>
    <t>83</t>
  </si>
  <si>
    <t>84</t>
  </si>
  <si>
    <t>85</t>
  </si>
  <si>
    <t>86</t>
  </si>
  <si>
    <t>87</t>
  </si>
  <si>
    <t>88</t>
  </si>
  <si>
    <t>89</t>
  </si>
  <si>
    <t>90</t>
  </si>
  <si>
    <t xml:space="preserve">3.1.53. Реконструкция участка 5 т/м ТЭЦ-4 от ТК 35 до ТК 36 Ду700мм, Lк=112 м по ул. III Интернационала </t>
  </si>
  <si>
    <t xml:space="preserve">3.1.54. Реконструкция участка т/м ЧТЭЦ-1 - ЧТПЗ от ТК22 до ТК24 по ул. Дзержинского в ППУ изоляции Ду720 Lк=278 м </t>
  </si>
  <si>
    <t xml:space="preserve">3.1.55. Реконструкция участка т/м ЧТЭЦ-1 - ЧТПЗ от ТК30-9 до ТК30-11 по ул.Суркова в ППУ изоляции Ду426 Lк=120 м </t>
  </si>
  <si>
    <t xml:space="preserve">3.1.56. Реконструкция участка т/м ЧТЭЦ-1 - Новороссийская от ТК56 до ТК61 по ул. Гагарина в ППУ изоляции Ду530 Lк=400 м </t>
  </si>
  <si>
    <t>3.1.57. Реконструкция участка теплотрассы ТК79а - ТК2-9 по Свердловскому проспекту 2Д426 мм Lк=243 м в ППУ изоляции</t>
  </si>
  <si>
    <t>3.1.59. Реконструкция участка 1-ой т/м ТЭЦ-3 от ТК-5а до ТК-8 2Ду350 мм Lк=310 м по ул. Горького в ППУ изоляции</t>
  </si>
  <si>
    <t>3.1.60. Реконструкция участка т/м ТЭЦ-2-Бажова от ТК-12 до ТК-14 2Ду700 мм Lк=354м по пр. Ленина в ППУ изоляции</t>
  </si>
  <si>
    <t>3.1.61. Реконструкция участка т/м ТЭЦ-2-Бродокалмакский тракт от ТК-25-5 до ЦТП "Комарова-1" 2Ду300 мм Lк=244м по пр. Комарова в ППУ изоляции</t>
  </si>
  <si>
    <t>3.1.62. Реконструкция участка т/м ТЭЦ-2-Бродокалмакский тракт от УП (перед ТК-4) до ТК-5 2Ду700 2Ду800 мм Lк=280м 360 м по ул. Линейная в ППУ изоляции</t>
  </si>
  <si>
    <t>3.1.63. Реконструкция участка 1-ой т/м ТЭЦ-3 от ТК-29 до ТК-29-4 2Ду500 мм Lк=370 м и 2Ду400 мм Lк=205 м по ул. Завалишина в ППУ изоляции</t>
  </si>
  <si>
    <t>3.1.64. Реконструкция участка т/м ТЭЦ-2-Бродокалмакский тракт от ТК-47-5 до ж/д пер. Передовой,5 2Ду250 мм Lк=130м и 2Ду200 мм Lк=270м в ППУ изоляции</t>
  </si>
  <si>
    <t>3.1.65. Реконструкция участка т/м ТЭЦ-2-Бродокалмакский тракт от ТК-47-5 до ж/д пер. Передовой,5 2Ду250 мм Lк=130м и 2Ду200 мм Lк=270м в ППУ изоляции</t>
  </si>
  <si>
    <t>3.1.66. 1 т\м ТЭЦ-4 от ТК 25-104 до ТК 25-82 ул. Береговая Д-325мм Lк-392м в ППУ изоляции</t>
  </si>
  <si>
    <t>3.1.67. Реконструкция участка теплотрассы 2 т\м ТЭЦ-3 от Н.О № 5 до ТК 30, по улице Красного Урала, 2Ду700 Lк=317 м</t>
  </si>
  <si>
    <t>3.1.68. Реконструкция участка теплотрассы 1 т\м СЗК от Т 29а до ТК 28, по Комсомольскому пр-ту, 2Ду700 Lк=160 м</t>
  </si>
  <si>
    <t>3.1.69. Реконструкция участка теплотрассы 1 т\м СЗК от ТК 49 до ТК50, по проспекту Победы 2Ду700 Lк=300 м</t>
  </si>
  <si>
    <t xml:space="preserve">3.1.70. Реконструкция участка т/м ЧТЭЦ-1 - Новороссийская от ТК-40 до ТК-42 Ду500 мм Lк=210 м,в ППУ изоляции. </t>
  </si>
  <si>
    <t>3.1.72. Модернизация запорной и регулирующей арматуры, в тепловых камерах и павильонах</t>
  </si>
  <si>
    <t>91</t>
  </si>
  <si>
    <t>92</t>
  </si>
  <si>
    <t>93</t>
  </si>
  <si>
    <t>94</t>
  </si>
  <si>
    <t>95</t>
  </si>
  <si>
    <t>96</t>
  </si>
  <si>
    <t>97</t>
  </si>
  <si>
    <t>98</t>
  </si>
  <si>
    <t>99</t>
  </si>
  <si>
    <t>100</t>
  </si>
  <si>
    <t>101</t>
  </si>
  <si>
    <t>102</t>
  </si>
  <si>
    <t>103</t>
  </si>
  <si>
    <t>104</t>
  </si>
  <si>
    <t>105</t>
  </si>
  <si>
    <t>106</t>
  </si>
  <si>
    <t>107</t>
  </si>
  <si>
    <t>108</t>
  </si>
  <si>
    <t>109</t>
  </si>
  <si>
    <t>110</t>
  </si>
  <si>
    <t>111</t>
  </si>
  <si>
    <t>3.1.73. Модернизация запорной и регулирующей арматуры, в тепловых камерах и павильонах</t>
  </si>
  <si>
    <t>3.1.74. Модернизация запорной и регулирующей арматуры, в тепловых камерах и павильонах</t>
  </si>
  <si>
    <t>3.1.75. Реконструкция теплоизоляции на трубопроводах надземной прокладки с применением ППУ</t>
  </si>
  <si>
    <t>3.1.76. Реконструкция теплоизоляции на трубопроводах надземной прокладки с применением ППУ</t>
  </si>
  <si>
    <t>3.1.77. Реконструкция теплоизоляции на трубопроводах надземной прокладки с применением ППУ</t>
  </si>
  <si>
    <t xml:space="preserve">4.1. участок макот </t>
  </si>
  <si>
    <t>4.2. Строительство т/м ТЭЦ-4 - СЗК</t>
  </si>
  <si>
    <t>4.3. Строительство насосной №9</t>
  </si>
  <si>
    <t>4.4. Объединение т/м 2, 4 в одну т/м ø1000мм до т.А , Строительство т/м ТЭЦ-4 - СЗК (от р. Миасс до коллектора ТЭЦ-4)</t>
  </si>
  <si>
    <t>4.5. Реконструкция участка от ТК-15 до ТК-30-55 по ул. Братьев Кашириных с увеличением диаметра с Ду 350 мм до Ду 500 мм длиной 500 м</t>
  </si>
  <si>
    <t>4.6. Строительство тепловой сети диаметром Ду 500 мм длиной 600 м от ТК-30-55 до ТК-80 по ул. Братьев Кашириных</t>
  </si>
  <si>
    <t>4.7. Реконструкция ПНС-7 с заменой сетевых насосов вертикального исполнения (тип исполнения in-Line) на насосы консольного исполнения</t>
  </si>
  <si>
    <t>4.8. Комплексная автоматизация контура ТЭЦ-4 – СЗК - ТЭЦ-3 (в части СЗК)</t>
  </si>
  <si>
    <t>4.9. Комплексная автоматизация контура ТЭЦ-4 – СЗК - ТЭЦ-3 (в части ТЭЦ-3)</t>
  </si>
  <si>
    <t>4.10. Комплексная автоматизация контура ТЭЦ-4 – СЗК - ТЭЦ-3 (в части ТЭЦ-4)</t>
  </si>
  <si>
    <t>4.11. Установить секционные задвижки в т. 5 т/м №2 со стороны СЗК</t>
  </si>
  <si>
    <t>4.12. Установить секционные задвижки в П-1 т/м Бродокалмак со стороны ЧТЭЦ-2</t>
  </si>
  <si>
    <t>4.13. Установить секционные задвижки в ТК-111 т/м №3 СЗК со стороны ТК-110 по ул. 40 лет Победы</t>
  </si>
  <si>
    <t>В связи с тем, что все объекты теплоснабжения эксплуатируются АО "УСТЭК-Челябинск"  на праве аренды,  источник финансирования "Амортизационные отчисления " представляет собой амортизационные отчисления в составе арендной платы арендодателю - АО «УТСК» по Договору аренды тепловых сетей и иного имущества от 22.06.2018 г. № 3462</t>
  </si>
  <si>
    <t>В графе "Размер средств по инвестиционной программе, учтенных в НВВ на 2020 год, тыс.руб." указана сумма амортизационных отчислений на реализацию ИП, учтенных в составе статьи "Арендная плата", и прибыли, направляемой на инвестиции, без учета НДС</t>
  </si>
  <si>
    <t>Источники финансирования "Прочие собственные средства", "Прочие привлеченные средства", а также строки № 2 в источниках финансирования по мероприятиям №№ 4.14-4.16 - суммы НДС</t>
  </si>
  <si>
    <t>3.1.12. Реконструкция участков теплотрассы от ТК-25-20 до ЦТП «Комарова-2» и до ТК-25-24 по ул. ШуменскаяДу500мм – Lk = 50 м.;Ду400мм – Lk = 120 м.;Ду350мм – Lk = 220 м.;</t>
  </si>
  <si>
    <t>3.1.11. Реконструкция участков теплотрассы от ТК-16-48 до ТК-22-7 по ул. ГорькогоДу350мм – Lk = 450 м.;Ду300мм – Lk = 65 м.;Ду250мм – Lk = 270 м.;Ду125мм – Lk = 130 м.;Ду100мм – Lk = 110 м.;Ду80мм – Lk = 190 м.;</t>
  </si>
  <si>
    <t>3.1.33. Реконструкция участков теплотрассы от ТК-41 до Т.41-23, от ТК-41-5 до Т.41-21, от ТК-41-6 до Т.41-12а по ул. КарпенкоДу200мм – Lk = 225 м.;Ду100мм – Lk = 464 м.;Ду50мм – Lk = 60 м..</t>
  </si>
  <si>
    <t>3.1.34. Участок от Т.А ( возле ТК-34) до ТК-1 по пер. Лермонтовскому и от ТК-35-25а до Т.36-5 через ТК-36 по ул. Бажова. Длина т/трассы: Ду500мм – Lk=250 м.;Ду350мм – Lk=185 м.;Ду300мм – Lk=80 м.;Ду200мм – Lk=80 м..</t>
  </si>
  <si>
    <t>3.1.1. Реконструкция 1 т/м ТЭЦ-4 от ТК 25-111 до ТК- 25-124 по ул. Набережная Ду 400мм, Lк=1042м в ППУ изоляции</t>
  </si>
  <si>
    <t>3.1.2. Реконструкция т/м ЧТЭЦ-2-Бродокалмакский тракт ТК 11а-ТК-22-Т.25-1 по ул. Салютная Ду 800мм, Lк=607м в ППУ изоляции</t>
  </si>
  <si>
    <t>3.1.7. Реконструкция т/тр от ТК-14-3 до УП возле ТК-14-3а, Ду200мм, Lк=250м в ППУ изоляции.</t>
  </si>
  <si>
    <t xml:space="preserve">3.1.9. Реконструкция участка теплотрассы от ТК-1 до ТК-9 по ул. Пушкина Ду400 Lк=487 м в ППУ изоляции </t>
  </si>
  <si>
    <t xml:space="preserve">3.1.13. Реконструкция 2 т/м ЧГРЭС ТК28-ТК30-1 по Свердловскому пр., Ду700/500, Lк=480/100м в ППУ изоляции </t>
  </si>
  <si>
    <t xml:space="preserve">3.1.14. Реконструкция участка т/м ТЭЦ-1-Новороссийская от ТК6 до ТК7а по ул. Плодоягодная в ППУ изоляции Ду700мм, Lк=200м </t>
  </si>
  <si>
    <t xml:space="preserve">3.1.16. Реконструкция участка т/м ТЭЦ-1-Новороссийская от ТК-46 до ТК-50 по ул. Гагарина в ППУ изоляции Ду500мм, Lк=380м </t>
  </si>
  <si>
    <t xml:space="preserve">3.1.17. Реконструкция участка тепломагистрали по Свердловскому пр. от ТК-36 до ТК-79 в ППУ-изоляции, Ду700, Lк= 580м. </t>
  </si>
  <si>
    <t xml:space="preserve">3.1.18. Реконструкция тепломагистрали ЧТЭЦ-2 Центр города от ТК-47 до ТК-52 по ул. 3-го Интернационала в ППУ изоляции, Ду700, Lк=428м. </t>
  </si>
  <si>
    <t>3.1.23. Реконструкция участка 3 т\м СЗК от ТК 109 до ТК 112 в ППУ-изоляции Ду700мм, Lк=420 м.</t>
  </si>
  <si>
    <t>3.1.24. Реконструкция участка 1 т\м СЗК от ТК 30а-3 до ТК 30а-5 по проспекту Победы в ППУ-изоляции, Ду500мм, Lк=101 м.</t>
  </si>
  <si>
    <t>3.1.28. Реконструкция участка т/м ЧТЭЦ-1 - ЧТПЗ от ТК43 до ТК49 по ул.Новороссийская в ППУ изоляции 2Д530 Lк668</t>
  </si>
  <si>
    <t xml:space="preserve">3.1.29. Реконструкия участка теплотрассы по ул. С.Кривой от ТК80 до ТК85 2Д500мм L442 м. канала  </t>
  </si>
  <si>
    <t xml:space="preserve">3.1.30. Реконструкция учатска теплотрассы по ул.Доватора от ТК16 до ТК17А Д700мм 310м. канала   </t>
  </si>
  <si>
    <t>3.1.31. Реконструкция участка теплотрассы по ул К.Маркса от ТК35 до ТК35-23 Д300мм 260 м. Канала</t>
  </si>
  <si>
    <t>3.1.32. Реконструкция участков теплотрассы от ЦТП «Первоозёрный №4» до ТК-6 по ул. Краснофлотская Ду500мм – Lk = 270 м.</t>
  </si>
  <si>
    <t>3.1.35. Реконструкция участка 2 т\м ТЭЦ-4 от опуска т.А-3 до ТК А-5 ул. Болейко в ППУ изоляции 2Д530 Lк=294</t>
  </si>
  <si>
    <t>3.1.36. Реконструкция участка 5 т\м ЧГРЭС от ТК 6 до ТК 9а ул. Коммуны в ППУ изоляции 2Д720/530 Lк=231/248</t>
  </si>
  <si>
    <t>3.1.37. Реконструкция участка 1 т\м ЧТЭЦ-3 от ТК 18а до Т.28 ул. Г. Танкограда Ду-530мм Lк-472,3м в ППУ изоляции 2Д530 Lк=472</t>
  </si>
  <si>
    <t xml:space="preserve">3.1.38. Реконструкция участка теплотрассы 2 т\м ТЭЦ-3 от ТК 4 до ТК 33а-2В Ду 500, Lk=398 м </t>
  </si>
  <si>
    <t>3.1.39. Реконструкция участка теплотрассы 2 т\м СЗК от Т.5 до перехода Через Ж/Д переезд . : Ду 800, Lk=117 м</t>
  </si>
  <si>
    <t xml:space="preserve">3.1.40. Реконструкция участка теплотрассы 1 т\м СЗК от ТК 53 до ЦТП22-23 : Ду 500, Lk=246 м </t>
  </si>
  <si>
    <t>3.1.47. Реконструкция участка от ТК17 до ТК14 т/т по ул Коммуны Д500мм 370 м. канала в ППУ изоляции</t>
  </si>
  <si>
    <t xml:space="preserve">3.1.48. Реконструкция участка 5 т/м ЧГРЭС от ТК-36 до ТК-41а Ду700мм, Lк=549 м по III Интернационала в ППУ изоляции </t>
  </si>
  <si>
    <t xml:space="preserve">3.1.51. Реконструкция участка теплотрассы ТЭЦ-1 -ЧКПЗ от ТК-13 до ТК-14а по ул. Ереванской в ППУ изоляции Ду500мм, Lк=370м </t>
  </si>
  <si>
    <t>3.1.52. Реконструкция участка теплотрассы от ТК10-20 до ТК10-22 ул. Евтеева в ППУ-изоляции Ду500мм, длина по каналу 497 м</t>
  </si>
  <si>
    <t>3.1.58. Реконструкция участка теплотрассы от П6 до ТК11 по Троицкому тракту 2Д820/720 мм Lк=634/120 м в ППУ изоляции</t>
  </si>
  <si>
    <t xml:space="preserve">3.1.71. Реконструкция участка 1т/м ТЭЦ-3 по ул.Г.Танкограда от ТК-26 до ТК -26-7 и до ТК-26-5 Ду 250 мм Lк=598 м </t>
  </si>
  <si>
    <t>4.14. Проекты и мероприятия по переоборудованию индивидуальных тепловых пунктов потребителей 1. ТЭЦ-2 2. ЮЗК 3. ТЭЦ-1 4. ТЭЦ-3 5. ТЭЦ-4 6. СЗК</t>
  </si>
  <si>
    <t>4.15. Проекты и мероприятия по переоборудованию индивидуальных тепловых пунктов потребителей 1. ТЭЦ-2 2. ЮЗК 3. ТЭЦ-1 4. ТЭЦ-3 5. ТЭЦ-4 6. СЗК</t>
  </si>
  <si>
    <t>4.16. Проекты и мероприятия по переоборудованию индивидуальных тепловых пунктов потребителей 1. ТЭЦ-2 2. ЮЗК 3. ТЭЦ-1 4. ТЭЦ-3 5. ТЭЦ-4 6. СЗК</t>
  </si>
  <si>
    <t xml:space="preserve">1.3.7. Реконструкция тепловых сетей подходящих к насосной № 1 L-113 м с Ду 500 мм на 800 мм </t>
  </si>
  <si>
    <t xml:space="preserve">1.3.8. переложить участок по т/м ЧТПЗ от П-2 в сторону ТК-6 L-442 м Ду 700 мм на 1000 мм. </t>
  </si>
  <si>
    <t>1.3.9. реконструкция участка т/трассы от ТК-25-5 до ЦТП «Комарова-1» с увеличением Ду250мм на Ду300мм, длиной 150 м</t>
  </si>
  <si>
    <t>1.3.10. реконструкция с увеличением диаметра теплотрассы 1 т\м ЧТЭЦ-4 от Т.19-12 до ТК-30-16 с 2Ду 400 мм до 2 Ду 500 мм длиной 72 м</t>
  </si>
  <si>
    <t>1.3.11. реконструкция 1 т\м ЮЗК с увеличением диаметра от тк-14-2 до тк-14 с 2Ду-300мм до 2Ду-500мм, длиной 214м по ул.Техникумовской</t>
  </si>
  <si>
    <t>3.1.8. Реконструкция III т\м СЗК от ТК-105 до ТК-109 О700мм L=365м по ул.40 лет Победы в ППУ изоляции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</si>
</sst>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Red]\(&quot;$&quot;#,##0\)"/>
    <numFmt numFmtId="169" formatCode="_-* #,##0.00[$€-1]_-;\-* #,##0.00[$€-1]_-;_-* &quot;-&quot;??[$€-1]_-"/>
    <numFmt numFmtId="170" formatCode="#,##0.0"/>
    <numFmt numFmtId="171" formatCode="#,##0.000"/>
    <numFmt numFmtId="172" formatCode="#,##0.0000"/>
  </numFmts>
  <fonts count="76">
    <font>
      <sz val="9"/>
      <name val="Tahoma"/>
      <family val="2"/>
      <charset val="204"/>
    </font>
    <font>
      <sz val="11"/>
      <color indexed="8"/>
      <name val="Calibri"/>
      <family val="2"/>
      <charset val="204"/>
    </font>
    <font>
      <sz val="11"/>
      <color indexed="8"/>
      <name val="Calibri"/>
      <family val="2"/>
      <charset val="204"/>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sz val="10"/>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b/>
      <sz val="10"/>
      <color indexed="8"/>
      <name val="Tahoma"/>
      <family val="2"/>
      <charset val="204"/>
    </font>
    <font>
      <sz val="11"/>
      <color indexed="8"/>
      <name val="Calibri"/>
      <family val="2"/>
      <charset val="204"/>
    </font>
    <font>
      <sz val="9"/>
      <color indexed="10"/>
      <name val="Tahoma"/>
      <family val="2"/>
      <charset val="204"/>
    </font>
    <font>
      <sz val="11"/>
      <color indexed="8"/>
      <name val="Tahoma"/>
      <family val="2"/>
      <charset val="204"/>
    </font>
    <font>
      <u/>
      <sz val="20"/>
      <color indexed="56"/>
      <name val="Tahoma"/>
      <family val="2"/>
      <charset val="204"/>
    </font>
    <font>
      <sz val="11"/>
      <color indexed="8"/>
      <name val="Marlett"/>
      <charset val="2"/>
    </font>
    <font>
      <sz val="9"/>
      <name val="Courier New"/>
      <family val="3"/>
      <charset val="204"/>
    </font>
    <font>
      <sz val="16"/>
      <name val="Tahoma"/>
      <family val="2"/>
      <charset val="204"/>
    </font>
    <font>
      <sz val="9"/>
      <color indexed="60"/>
      <name val="Tahoma"/>
      <family val="2"/>
      <charset val="204"/>
    </font>
    <font>
      <sz val="16"/>
      <color indexed="9"/>
      <name val="Tahoma"/>
      <family val="2"/>
      <charset val="204"/>
    </font>
    <font>
      <b/>
      <sz val="14"/>
      <name val="Franklin Gothic Medium"/>
      <family val="2"/>
      <charset val="204"/>
    </font>
    <font>
      <b/>
      <sz val="9"/>
      <color indexed="62"/>
      <name val="Tahoma"/>
      <family val="2"/>
      <charset val="204"/>
    </font>
    <font>
      <b/>
      <sz val="9"/>
      <color indexed="10"/>
      <name val="Tahoma"/>
      <family val="2"/>
      <charset val="204"/>
    </font>
    <font>
      <u/>
      <sz val="9"/>
      <color indexed="12"/>
      <name val="Tahoma"/>
      <family val="2"/>
      <charset val="204"/>
    </font>
    <font>
      <sz val="10"/>
      <name val="Helv"/>
      <charset val="204"/>
    </font>
    <font>
      <sz val="8"/>
      <name val="Arial"/>
      <family val="2"/>
      <charset val="204"/>
    </font>
    <font>
      <sz val="11"/>
      <name val="Tahoma"/>
      <family val="2"/>
      <charset val="204"/>
    </font>
    <font>
      <sz val="9"/>
      <color indexed="11"/>
      <name val="Tahoma"/>
      <family val="2"/>
      <charset val="204"/>
    </font>
    <font>
      <sz val="11"/>
      <color indexed="9"/>
      <name val="Tahoma"/>
      <family val="2"/>
      <charset val="204"/>
    </font>
    <font>
      <sz val="9"/>
      <color indexed="8"/>
      <name val="Tahoma"/>
      <family val="2"/>
      <charset val="204"/>
    </font>
    <font>
      <u/>
      <sz val="9"/>
      <color indexed="62"/>
      <name val="Tahoma"/>
      <family val="2"/>
      <charset val="204"/>
    </font>
    <font>
      <sz val="11"/>
      <color indexed="22"/>
      <name val="Wingdings 2"/>
      <family val="1"/>
      <charset val="2"/>
    </font>
    <font>
      <b/>
      <sz val="9"/>
      <color indexed="8"/>
      <name val="Tahoma"/>
      <family val="2"/>
      <charset val="204"/>
    </font>
    <font>
      <sz val="9"/>
      <color indexed="81"/>
      <name val="Tahoma"/>
      <family val="2"/>
      <charset val="204"/>
    </font>
    <font>
      <sz val="11"/>
      <color indexed="55"/>
      <name val="Wingdings 2"/>
      <family val="1"/>
      <charset val="2"/>
    </font>
    <font>
      <sz val="9"/>
      <color indexed="63"/>
      <name val="Tahoma"/>
      <family val="2"/>
      <charset val="204"/>
    </font>
    <font>
      <sz val="11"/>
      <color indexed="63"/>
      <name val="Wingdings 2"/>
      <family val="1"/>
      <charset val="2"/>
    </font>
    <font>
      <b/>
      <sz val="10"/>
      <color indexed="63"/>
      <name val="Tahoma"/>
      <family val="2"/>
      <charset val="204"/>
    </font>
    <font>
      <sz val="10"/>
      <color indexed="55"/>
      <name val="Wingdings 2"/>
      <family val="1"/>
      <charset val="2"/>
    </font>
    <font>
      <u/>
      <sz val="9"/>
      <color rgb="FF333399"/>
      <name val="Tahoma"/>
      <family val="2"/>
      <charset val="204"/>
    </font>
    <font>
      <sz val="11"/>
      <color rgb="FF9C6500"/>
      <name val="Calibri"/>
      <family val="2"/>
      <charset val="204"/>
      <scheme val="minor"/>
    </font>
    <font>
      <sz val="11"/>
      <color theme="1"/>
      <name val="Calibri"/>
      <family val="2"/>
      <charset val="204"/>
      <scheme val="minor"/>
    </font>
    <font>
      <sz val="11"/>
      <color rgb="FF006100"/>
      <name val="Calibri"/>
      <family val="2"/>
      <charset val="204"/>
      <scheme val="minor"/>
    </font>
    <font>
      <sz val="9"/>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9C000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0"/>
      <name val="Wingdings 2"/>
      <family val="1"/>
      <charset val="2"/>
    </font>
    <font>
      <b/>
      <sz val="9"/>
      <color theme="0"/>
      <name val="Tahoma"/>
      <family val="2"/>
      <charset val="204"/>
    </font>
    <font>
      <u/>
      <sz val="9"/>
      <color theme="11"/>
      <name val="Tahoma"/>
      <family val="2"/>
      <charset val="204"/>
    </font>
    <font>
      <sz val="10"/>
      <color rgb="FF000000"/>
      <name val="Source Sans Pro"/>
      <family val="2"/>
      <charset val="204"/>
    </font>
    <font>
      <b/>
      <sz val="10"/>
      <color rgb="FF000000"/>
      <name val="Source Sans Pro"/>
      <family val="2"/>
      <charset val="204"/>
    </font>
    <font>
      <b/>
      <sz val="1"/>
      <color theme="0"/>
      <name val="Tahoma"/>
      <family val="2"/>
      <charset val="204"/>
    </font>
    <font>
      <sz val="11"/>
      <color theme="0"/>
      <name val="Wingdings 2"/>
      <family val="1"/>
      <charset val="2"/>
    </font>
  </fonts>
  <fills count="46">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indexed="31"/>
        <bgColor indexed="64"/>
      </patternFill>
    </fill>
    <fill>
      <patternFill patternType="solid">
        <fgColor indexed="41"/>
        <bgColor indexed="64"/>
      </patternFill>
    </fill>
    <fill>
      <patternFill patternType="solid">
        <fgColor indexed="65"/>
        <bgColor indexed="64"/>
      </patternFill>
    </fill>
    <fill>
      <patternFill patternType="solid">
        <fgColor indexed="44"/>
        <bgColor indexed="64"/>
      </patternFill>
    </fill>
    <fill>
      <patternFill patternType="lightDown">
        <fgColor indexed="22"/>
      </patternFill>
    </fill>
    <fill>
      <patternFill patternType="solid">
        <fgColor rgb="FFFFEB9C"/>
      </patternFill>
    </fill>
    <fill>
      <patternFill patternType="solid">
        <fgColor rgb="FFC6EFCE"/>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55"/>
      </left>
      <right/>
      <top style="thin">
        <color indexed="55"/>
      </top>
      <bottom/>
      <diagonal/>
    </border>
    <border>
      <left/>
      <right/>
      <top style="thin">
        <color indexed="55"/>
      </top>
      <bottom/>
      <diagonal/>
    </border>
    <border>
      <left style="thin">
        <color indexed="23"/>
      </left>
      <right/>
      <top/>
      <bottom/>
      <diagonal/>
    </border>
    <border>
      <left/>
      <right style="thin">
        <color indexed="23"/>
      </right>
      <top/>
      <bottom/>
      <diagonal/>
    </border>
    <border>
      <left style="thin">
        <color indexed="55"/>
      </left>
      <right style="thin">
        <color indexed="55"/>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55"/>
      </left>
      <right/>
      <top/>
      <bottom/>
      <diagonal/>
    </border>
    <border>
      <left style="thin">
        <color indexed="55"/>
      </left>
      <right style="thin">
        <color indexed="55"/>
      </right>
      <top style="thin">
        <color indexed="55"/>
      </top>
      <bottom style="double">
        <color indexed="55"/>
      </bottom>
      <diagonal/>
    </border>
    <border>
      <left/>
      <right/>
      <top style="dotted">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55"/>
      </left>
      <right/>
      <top style="thin">
        <color indexed="55"/>
      </top>
      <bottom style="medium">
        <color indexed="55"/>
      </bottom>
      <diagonal/>
    </border>
    <border>
      <left/>
      <right/>
      <top/>
      <bottom style="thin">
        <color indexed="55"/>
      </bottom>
      <diagonal/>
    </border>
    <border>
      <left style="thin">
        <color indexed="55"/>
      </left>
      <right style="thin">
        <color indexed="55"/>
      </right>
      <top/>
      <bottom/>
      <diagonal/>
    </border>
    <border>
      <left/>
      <right/>
      <top style="medium">
        <color indexed="55"/>
      </top>
      <bottom style="thin">
        <color indexed="55"/>
      </bottom>
      <diagonal/>
    </border>
    <border>
      <left/>
      <right style="thin">
        <color indexed="55"/>
      </right>
      <top style="medium">
        <color indexed="55"/>
      </top>
      <bottom style="thin">
        <color indexed="55"/>
      </bottom>
      <diagonal/>
    </border>
    <border>
      <left style="thin">
        <color indexed="55"/>
      </left>
      <right/>
      <top style="medium">
        <color indexed="55"/>
      </top>
      <bottom style="thin">
        <color indexed="55"/>
      </bottom>
      <diagonal/>
    </border>
    <border>
      <left/>
      <right style="thin">
        <color indexed="55"/>
      </right>
      <top style="thin">
        <color indexed="55"/>
      </top>
      <bottom style="thin">
        <color indexed="55"/>
      </bottom>
      <diagonal/>
    </border>
    <border>
      <left/>
      <right/>
      <top/>
      <bottom style="medium">
        <color indexed="55"/>
      </bottom>
      <diagonal/>
    </border>
    <border>
      <left/>
      <right style="thin">
        <color indexed="55"/>
      </right>
      <top/>
      <bottom style="medium">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indexed="55"/>
      </left>
      <right/>
      <top style="medium">
        <color indexed="55"/>
      </top>
      <bottom/>
      <diagonal/>
    </border>
    <border>
      <left/>
      <right/>
      <top style="medium">
        <color indexed="55"/>
      </top>
      <bottom/>
      <diagonal/>
    </border>
    <border>
      <left/>
      <right style="thin">
        <color indexed="55"/>
      </right>
      <top/>
      <bottom/>
      <diagonal/>
    </border>
    <border>
      <left style="thin">
        <color indexed="55"/>
      </left>
      <right style="thin">
        <color indexed="55"/>
      </right>
      <top/>
      <bottom style="thin">
        <color indexed="55"/>
      </bottom>
      <diagonal/>
    </border>
    <border>
      <left/>
      <right/>
      <top style="thin">
        <color indexed="55"/>
      </top>
      <bottom style="medium">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55"/>
      </left>
      <right/>
      <top/>
      <bottom style="medium">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medium">
        <color indexed="55"/>
      </top>
      <bottom/>
      <diagonal/>
    </border>
    <border>
      <left style="thin">
        <color indexed="55"/>
      </left>
      <right style="thin">
        <color indexed="55"/>
      </right>
      <top/>
      <bottom style="medium">
        <color indexed="55"/>
      </bottom>
      <diagonal/>
    </border>
  </borders>
  <cellStyleXfs count="103">
    <xf numFmtId="49" fontId="0" fillId="0" borderId="0" applyBorder="0">
      <alignment vertical="top"/>
    </xf>
    <xf numFmtId="0" fontId="4" fillId="0" borderId="0"/>
    <xf numFmtId="169" fontId="4" fillId="0" borderId="0"/>
    <xf numFmtId="0" fontId="36" fillId="0" borderId="0"/>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38" fontId="37" fillId="0" borderId="0">
      <alignment vertical="top"/>
    </xf>
    <xf numFmtId="0" fontId="20" fillId="0" borderId="1" applyNumberFormat="0" applyAlignment="0">
      <protection locked="0"/>
    </xf>
    <xf numFmtId="168" fontId="5" fillId="0" borderId="0" applyFont="0" applyFill="0" applyBorder="0" applyAlignment="0" applyProtection="0"/>
    <xf numFmtId="0" fontId="17" fillId="0" borderId="0" applyFill="0" applyBorder="0" applyProtection="0">
      <alignment vertical="center"/>
    </xf>
    <xf numFmtId="0" fontId="18" fillId="0" borderId="0" applyNumberFormat="0" applyFill="0" applyBorder="0" applyAlignment="0" applyProtection="0">
      <alignment vertical="top"/>
      <protection locked="0"/>
    </xf>
    <xf numFmtId="0" fontId="20" fillId="3" borderId="1" applyNumberFormat="0" applyAlignment="0"/>
    <xf numFmtId="0" fontId="19" fillId="0" borderId="0" applyNumberFormat="0" applyFill="0" applyBorder="0" applyAlignment="0" applyProtection="0">
      <alignment vertical="top"/>
      <protection locked="0"/>
    </xf>
    <xf numFmtId="0" fontId="8" fillId="0" borderId="0" applyNumberFormat="0" applyFill="0" applyBorder="0" applyAlignment="0" applyProtection="0"/>
    <xf numFmtId="0" fontId="6" fillId="0" borderId="0"/>
    <xf numFmtId="0" fontId="17" fillId="0" borderId="0" applyFill="0" applyBorder="0" applyProtection="0">
      <alignment vertical="center"/>
    </xf>
    <xf numFmtId="0" fontId="17" fillId="0" borderId="0" applyFill="0" applyBorder="0" applyProtection="0">
      <alignment vertical="center"/>
    </xf>
    <xf numFmtId="49" fontId="38" fillId="4" borderId="2" applyNumberFormat="0">
      <alignment horizontal="center" vertical="center"/>
    </xf>
    <xf numFmtId="0" fontId="15" fillId="5" borderId="1" applyNumberFormat="0" applyAlignment="0" applyProtection="0"/>
    <xf numFmtId="0" fontId="5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2" fillId="0" borderId="0" applyBorder="0">
      <alignment horizontal="center" vertical="center" wrapText="1"/>
    </xf>
    <xf numFmtId="0" fontId="9" fillId="0" borderId="3" applyBorder="0">
      <alignment horizontal="center" vertical="center" wrapText="1"/>
    </xf>
    <xf numFmtId="4" fontId="7" fillId="2" borderId="4" applyBorder="0">
      <alignment horizontal="right"/>
    </xf>
    <xf numFmtId="49" fontId="7" fillId="0" borderId="0" applyBorder="0">
      <alignment vertical="top"/>
    </xf>
    <xf numFmtId="0" fontId="53" fillId="0" borderId="0"/>
    <xf numFmtId="0" fontId="39" fillId="6" borderId="0" applyNumberFormat="0" applyBorder="0" applyAlignment="0">
      <alignment horizontal="left" vertical="center"/>
    </xf>
    <xf numFmtId="49" fontId="41" fillId="7" borderId="0" applyBorder="0">
      <alignment vertical="top"/>
    </xf>
    <xf numFmtId="49" fontId="7" fillId="6" borderId="0" applyBorder="0">
      <alignment vertical="top"/>
    </xf>
    <xf numFmtId="49" fontId="7" fillId="0" borderId="0" applyBorder="0">
      <alignment vertical="top"/>
    </xf>
    <xf numFmtId="49" fontId="7" fillId="0" borderId="0" applyBorder="0">
      <alignment vertical="top"/>
    </xf>
    <xf numFmtId="0" fontId="1" fillId="0" borderId="0"/>
    <xf numFmtId="0" fontId="3" fillId="0" borderId="0"/>
    <xf numFmtId="49" fontId="7" fillId="0" borderId="0" applyBorder="0">
      <alignment vertical="top"/>
    </xf>
    <xf numFmtId="0" fontId="3" fillId="0" borderId="0"/>
    <xf numFmtId="0" fontId="7" fillId="0" borderId="0">
      <alignment horizontal="left" vertical="center"/>
    </xf>
    <xf numFmtId="0" fontId="3" fillId="0" borderId="0"/>
    <xf numFmtId="0" fontId="3" fillId="0" borderId="0"/>
    <xf numFmtId="0" fontId="23" fillId="0" borderId="0"/>
    <xf numFmtId="0" fontId="2" fillId="0" borderId="0"/>
    <xf numFmtId="4" fontId="7" fillId="8" borderId="5" applyBorder="0">
      <alignment horizontal="right"/>
    </xf>
    <xf numFmtId="0" fontId="56" fillId="0" borderId="0" applyNumberFormat="0" applyFill="0" applyBorder="0" applyAlignment="0" applyProtection="0"/>
    <xf numFmtId="0" fontId="57" fillId="0" borderId="39" applyNumberFormat="0" applyFill="0" applyAlignment="0" applyProtection="0"/>
    <xf numFmtId="0" fontId="58" fillId="0" borderId="40" applyNumberFormat="0" applyFill="0" applyAlignment="0" applyProtection="0"/>
    <xf numFmtId="0" fontId="59" fillId="0" borderId="41" applyNumberFormat="0" applyFill="0" applyAlignment="0" applyProtection="0"/>
    <xf numFmtId="0" fontId="59" fillId="0" borderId="0" applyNumberFormat="0" applyFill="0" applyBorder="0" applyAlignment="0" applyProtection="0"/>
    <xf numFmtId="0" fontId="54" fillId="17" borderId="0" applyNumberFormat="0" applyBorder="0" applyAlignment="0" applyProtection="0"/>
    <xf numFmtId="0" fontId="60" fillId="18" borderId="0" applyNumberFormat="0" applyBorder="0" applyAlignment="0" applyProtection="0"/>
    <xf numFmtId="0" fontId="52" fillId="16" borderId="0" applyNumberFormat="0" applyBorder="0" applyAlignment="0" applyProtection="0"/>
    <xf numFmtId="0" fontId="61" fillId="19" borderId="42" applyNumberFormat="0" applyAlignment="0" applyProtection="0"/>
    <xf numFmtId="0" fontId="62" fillId="19" borderId="43" applyNumberFormat="0" applyAlignment="0" applyProtection="0"/>
    <xf numFmtId="0" fontId="63" fillId="0" borderId="44" applyNumberFormat="0" applyFill="0" applyAlignment="0" applyProtection="0"/>
    <xf numFmtId="0" fontId="64" fillId="20" borderId="45" applyNumberFormat="0" applyAlignment="0" applyProtection="0"/>
    <xf numFmtId="0" fontId="65" fillId="0" borderId="0" applyNumberFormat="0" applyFill="0" applyBorder="0" applyAlignment="0" applyProtection="0"/>
    <xf numFmtId="0" fontId="7" fillId="21" borderId="46" applyNumberFormat="0" applyFont="0" applyAlignment="0" applyProtection="0"/>
    <xf numFmtId="0" fontId="66" fillId="0" borderId="0" applyNumberFormat="0" applyFill="0" applyBorder="0" applyAlignment="0" applyProtection="0"/>
    <xf numFmtId="0" fontId="67" fillId="0" borderId="47" applyNumberFormat="0" applyFill="0" applyAlignment="0" applyProtection="0"/>
    <xf numFmtId="0" fontId="68"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68" fillId="45" borderId="0" applyNumberFormat="0" applyBorder="0" applyAlignment="0" applyProtection="0"/>
    <xf numFmtId="49" fontId="7" fillId="0" borderId="0" applyBorder="0">
      <alignment vertical="top"/>
    </xf>
    <xf numFmtId="170" fontId="7" fillId="2" borderId="0">
      <protection locked="0"/>
    </xf>
    <xf numFmtId="171" fontId="7" fillId="2" borderId="0">
      <protection locked="0"/>
    </xf>
    <xf numFmtId="172" fontId="7" fillId="2" borderId="0">
      <protection locked="0"/>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3" fillId="0" borderId="0"/>
    <xf numFmtId="49" fontId="71" fillId="0" borderId="0" applyNumberFormat="0" applyFill="0" applyBorder="0" applyAlignment="0" applyProtection="0">
      <alignment vertical="top"/>
    </xf>
    <xf numFmtId="49" fontId="71" fillId="0" borderId="0" applyNumberFormat="0" applyFill="0" applyBorder="0" applyAlignment="0" applyProtection="0">
      <alignment vertical="top"/>
    </xf>
  </cellStyleXfs>
  <cellXfs count="456">
    <xf numFmtId="49" fontId="0" fillId="0" borderId="0" xfId="0">
      <alignment vertical="top"/>
    </xf>
    <xf numFmtId="49" fontId="7" fillId="0" borderId="0" xfId="0" applyFont="1" applyProtection="1">
      <alignment vertical="top"/>
    </xf>
    <xf numFmtId="49" fontId="0" fillId="0" borderId="0" xfId="0" applyProtection="1">
      <alignment vertical="top"/>
    </xf>
    <xf numFmtId="49" fontId="0" fillId="0" borderId="0" xfId="0" applyNumberFormat="1" applyProtection="1">
      <alignment vertical="top"/>
    </xf>
    <xf numFmtId="49" fontId="14" fillId="0" borderId="0" xfId="0" applyNumberFormat="1" applyFont="1" applyProtection="1">
      <alignment vertical="top"/>
    </xf>
    <xf numFmtId="49" fontId="7" fillId="0" borderId="0" xfId="0" applyNumberFormat="1" applyFont="1" applyAlignment="1" applyProtection="1">
      <alignment vertical="top" wrapText="1"/>
    </xf>
    <xf numFmtId="49" fontId="7" fillId="0" borderId="0" xfId="0" applyNumberFormat="1" applyFont="1" applyAlignment="1" applyProtection="1">
      <alignment vertical="center" wrapText="1"/>
    </xf>
    <xf numFmtId="49" fontId="7" fillId="0" borderId="0" xfId="43" applyFont="1" applyAlignment="1" applyProtection="1">
      <alignment vertical="center" wrapText="1"/>
    </xf>
    <xf numFmtId="49" fontId="12" fillId="0" borderId="0" xfId="43" applyFont="1" applyAlignment="1" applyProtection="1">
      <alignment vertical="center"/>
    </xf>
    <xf numFmtId="0" fontId="12" fillId="0" borderId="0" xfId="42" applyFont="1" applyAlignment="1" applyProtection="1">
      <alignment horizontal="center" vertical="center" wrapText="1"/>
    </xf>
    <xf numFmtId="0" fontId="7" fillId="0" borderId="0" xfId="42" applyFont="1" applyAlignment="1" applyProtection="1">
      <alignment vertical="center" wrapText="1"/>
    </xf>
    <xf numFmtId="0" fontId="7" fillId="0" borderId="0" xfId="42" applyFont="1" applyAlignment="1" applyProtection="1">
      <alignment horizontal="left" vertical="center" wrapText="1"/>
    </xf>
    <xf numFmtId="0" fontId="7" fillId="0" borderId="0" xfId="42" applyFont="1" applyProtection="1"/>
    <xf numFmtId="0" fontId="7" fillId="7" borderId="0" xfId="42" applyFont="1" applyFill="1" applyBorder="1" applyProtection="1"/>
    <xf numFmtId="0" fontId="7" fillId="0" borderId="0" xfId="42" applyFont="1"/>
    <xf numFmtId="0" fontId="28" fillId="0" borderId="0" xfId="42" applyFont="1"/>
    <xf numFmtId="49" fontId="7" fillId="0" borderId="0" xfId="40" applyFont="1" applyProtection="1">
      <alignment vertical="top"/>
    </xf>
    <xf numFmtId="49" fontId="7" fillId="0" borderId="0" xfId="40" applyProtection="1">
      <alignment vertical="top"/>
    </xf>
    <xf numFmtId="0" fontId="12" fillId="0" borderId="0" xfId="45" applyNumberFormat="1" applyFont="1" applyFill="1" applyAlignment="1" applyProtection="1">
      <alignment vertical="center" wrapText="1"/>
    </xf>
    <xf numFmtId="0" fontId="12" fillId="0" borderId="0" xfId="45" applyFont="1" applyFill="1" applyAlignment="1" applyProtection="1">
      <alignment horizontal="left" vertical="center" wrapText="1"/>
    </xf>
    <xf numFmtId="0" fontId="12" fillId="0" borderId="0" xfId="45" applyFont="1" applyAlignment="1" applyProtection="1">
      <alignment vertical="center" wrapText="1"/>
    </xf>
    <xf numFmtId="0" fontId="12" fillId="0" borderId="0" xfId="45" applyFont="1" applyAlignment="1" applyProtection="1">
      <alignment horizontal="center" vertical="center" wrapText="1"/>
    </xf>
    <xf numFmtId="0" fontId="12" fillId="0" borderId="0" xfId="45" applyFont="1" applyFill="1" applyAlignment="1" applyProtection="1">
      <alignment vertical="center" wrapText="1"/>
    </xf>
    <xf numFmtId="0" fontId="24" fillId="0" borderId="0" xfId="45" applyFont="1" applyAlignment="1" applyProtection="1">
      <alignment vertical="center" wrapText="1"/>
    </xf>
    <xf numFmtId="0" fontId="7" fillId="7" borderId="0" xfId="45" applyFont="1" applyFill="1" applyBorder="1" applyAlignment="1" applyProtection="1">
      <alignment vertical="center" wrapText="1"/>
    </xf>
    <xf numFmtId="0" fontId="7" fillId="0" borderId="0" xfId="45" applyFont="1" applyBorder="1" applyAlignment="1" applyProtection="1">
      <alignment vertical="center" wrapText="1"/>
    </xf>
    <xf numFmtId="0" fontId="7" fillId="0" borderId="0" xfId="45" applyFont="1" applyAlignment="1" applyProtection="1">
      <alignment horizontal="center" vertical="center" wrapText="1"/>
    </xf>
    <xf numFmtId="0" fontId="7" fillId="0" borderId="0" xfId="45" applyFont="1" applyAlignment="1" applyProtection="1">
      <alignment vertical="center" wrapText="1"/>
    </xf>
    <xf numFmtId="0" fontId="29" fillId="7" borderId="0" xfId="45" applyFont="1" applyFill="1" applyBorder="1" applyAlignment="1" applyProtection="1">
      <alignment vertical="center" wrapText="1"/>
    </xf>
    <xf numFmtId="0" fontId="9" fillId="7" borderId="0" xfId="45" applyFont="1" applyFill="1" applyBorder="1" applyAlignment="1" applyProtection="1">
      <alignment vertical="center" wrapText="1"/>
    </xf>
    <xf numFmtId="0" fontId="7" fillId="7" borderId="0" xfId="45" applyFont="1" applyFill="1" applyBorder="1" applyAlignment="1" applyProtection="1">
      <alignment horizontal="right" vertical="center" wrapText="1" indent="1"/>
    </xf>
    <xf numFmtId="14" fontId="12" fillId="7" borderId="0" xfId="45" applyNumberFormat="1" applyFont="1" applyFill="1" applyBorder="1" applyAlignment="1" applyProtection="1">
      <alignment horizontal="center" vertical="center" wrapText="1"/>
    </xf>
    <xf numFmtId="0" fontId="12" fillId="7" borderId="0" xfId="45" applyNumberFormat="1" applyFont="1" applyFill="1" applyBorder="1" applyAlignment="1" applyProtection="1">
      <alignment horizontal="center" vertical="center" wrapText="1"/>
    </xf>
    <xf numFmtId="0" fontId="7" fillId="7" borderId="0" xfId="45" applyFont="1" applyFill="1" applyBorder="1" applyAlignment="1" applyProtection="1">
      <alignment horizontal="center" vertical="center" wrapText="1"/>
    </xf>
    <xf numFmtId="14" fontId="7" fillId="7" borderId="0" xfId="45" applyNumberFormat="1" applyFont="1" applyFill="1" applyBorder="1" applyAlignment="1" applyProtection="1">
      <alignment horizontal="center" vertical="center" wrapText="1"/>
    </xf>
    <xf numFmtId="0" fontId="24" fillId="0" borderId="0" xfId="45" applyFont="1" applyAlignment="1" applyProtection="1">
      <alignment horizontal="center" vertical="center" wrapText="1"/>
    </xf>
    <xf numFmtId="0" fontId="31" fillId="7" borderId="0" xfId="45" applyNumberFormat="1" applyFont="1" applyFill="1" applyBorder="1" applyAlignment="1" applyProtection="1">
      <alignment horizontal="center" vertical="center" wrapText="1"/>
    </xf>
    <xf numFmtId="0" fontId="7" fillId="7" borderId="0" xfId="45" applyNumberFormat="1" applyFont="1" applyFill="1" applyBorder="1" applyAlignment="1" applyProtection="1">
      <alignment horizontal="right" vertical="center" wrapText="1" indent="1"/>
    </xf>
    <xf numFmtId="49" fontId="7" fillId="7" borderId="0" xfId="45" applyNumberFormat="1" applyFont="1" applyFill="1" applyBorder="1" applyAlignment="1" applyProtection="1">
      <alignment horizontal="right" vertical="center" wrapText="1" indent="1"/>
    </xf>
    <xf numFmtId="0" fontId="12" fillId="0" borderId="0" xfId="45" applyFont="1" applyFill="1" applyBorder="1" applyAlignment="1" applyProtection="1">
      <alignment vertical="center" wrapText="1"/>
    </xf>
    <xf numFmtId="49" fontId="12" fillId="0" borderId="0" xfId="45" applyNumberFormat="1" applyFont="1" applyFill="1" applyBorder="1" applyAlignment="1" applyProtection="1">
      <alignment horizontal="left" vertical="center" wrapText="1"/>
    </xf>
    <xf numFmtId="49" fontId="29" fillId="7" borderId="0" xfId="45" applyNumberFormat="1" applyFont="1" applyFill="1" applyBorder="1" applyAlignment="1" applyProtection="1">
      <alignment horizontal="center" vertical="center" wrapText="1"/>
    </xf>
    <xf numFmtId="49" fontId="9" fillId="8" borderId="4" xfId="0" applyNumberFormat="1" applyFont="1" applyFill="1" applyBorder="1" applyAlignment="1" applyProtection="1">
      <alignment horizontal="center" vertical="center" wrapText="1"/>
    </xf>
    <xf numFmtId="49" fontId="0" fillId="9" borderId="0" xfId="0" applyFill="1" applyProtection="1">
      <alignment vertical="top"/>
    </xf>
    <xf numFmtId="0" fontId="7" fillId="0" borderId="0" xfId="47" applyFont="1" applyFill="1" applyAlignment="1" applyProtection="1">
      <alignment vertical="center" wrapText="1"/>
    </xf>
    <xf numFmtId="0" fontId="7" fillId="7" borderId="0" xfId="47" applyFont="1" applyFill="1" applyBorder="1" applyAlignment="1" applyProtection="1">
      <alignment vertical="center" wrapText="1"/>
    </xf>
    <xf numFmtId="0" fontId="7" fillId="7" borderId="0" xfId="47" applyFont="1" applyFill="1" applyBorder="1" applyAlignment="1" applyProtection="1">
      <alignment horizontal="right" vertical="center" wrapText="1"/>
    </xf>
    <xf numFmtId="0" fontId="9" fillId="7" borderId="0" xfId="47" applyFont="1" applyFill="1" applyBorder="1" applyAlignment="1" applyProtection="1">
      <alignment horizontal="center" vertical="center" wrapText="1"/>
    </xf>
    <xf numFmtId="0" fontId="7" fillId="0" borderId="0" xfId="47" applyFont="1" applyFill="1" applyBorder="1" applyAlignment="1" applyProtection="1">
      <alignment vertical="center" wrapText="1"/>
    </xf>
    <xf numFmtId="0" fontId="21" fillId="9" borderId="0" xfId="47" applyFont="1" applyFill="1" applyAlignment="1" applyProtection="1">
      <alignment vertical="center" wrapText="1"/>
    </xf>
    <xf numFmtId="0" fontId="20" fillId="0" borderId="0" xfId="47" applyFont="1" applyAlignment="1" applyProtection="1">
      <alignment vertical="center" wrapText="1"/>
    </xf>
    <xf numFmtId="0" fontId="20" fillId="0" borderId="0" xfId="31" applyFont="1" applyFill="1" applyBorder="1" applyAlignment="1" applyProtection="1">
      <alignment horizontal="center" vertical="center" wrapText="1"/>
    </xf>
    <xf numFmtId="0" fontId="21" fillId="9" borderId="0" xfId="47" applyFont="1" applyFill="1" applyAlignment="1" applyProtection="1">
      <alignment vertical="center"/>
    </xf>
    <xf numFmtId="0" fontId="9" fillId="7" borderId="0" xfId="47" applyFont="1" applyFill="1" applyBorder="1" applyAlignment="1" applyProtection="1">
      <alignment horizontal="right" vertical="center" wrapText="1"/>
    </xf>
    <xf numFmtId="0" fontId="21" fillId="0" borderId="0" xfId="31" applyFont="1" applyFill="1" applyBorder="1" applyAlignment="1" applyProtection="1">
      <alignment horizontal="center" vertical="center" wrapText="1"/>
    </xf>
    <xf numFmtId="0" fontId="7" fillId="10" borderId="6" xfId="31" applyFont="1" applyFill="1" applyBorder="1" applyAlignment="1" applyProtection="1">
      <alignment horizontal="left" vertical="center" indent="1"/>
    </xf>
    <xf numFmtId="0" fontId="7" fillId="10" borderId="7" xfId="31" applyFont="1" applyFill="1" applyBorder="1" applyAlignment="1" applyProtection="1">
      <alignment horizontal="left" vertical="center" wrapText="1" indent="1"/>
    </xf>
    <xf numFmtId="49" fontId="25" fillId="0" borderId="0" xfId="38" applyFont="1" applyFill="1" applyAlignment="1" applyProtection="1">
      <alignment wrapText="1"/>
    </xf>
    <xf numFmtId="49" fontId="25" fillId="0" borderId="0" xfId="38" applyFont="1" applyFill="1" applyAlignment="1" applyProtection="1">
      <alignment vertical="center" wrapText="1"/>
    </xf>
    <xf numFmtId="49" fontId="40" fillId="0" borderId="0" xfId="38" applyFont="1" applyFill="1" applyAlignment="1" applyProtection="1">
      <alignment wrapText="1"/>
    </xf>
    <xf numFmtId="0" fontId="21" fillId="0" borderId="0" xfId="38" applyNumberFormat="1" applyFont="1" applyFill="1" applyAlignment="1" applyProtection="1">
      <alignment horizontal="left" vertical="center" wrapText="1"/>
    </xf>
    <xf numFmtId="0" fontId="20" fillId="0" borderId="0" xfId="38" applyNumberFormat="1" applyFont="1" applyFill="1" applyAlignment="1" applyProtection="1">
      <alignment vertical="top"/>
    </xf>
    <xf numFmtId="49" fontId="26" fillId="0" borderId="0" xfId="38" applyFont="1" applyFill="1" applyBorder="1" applyAlignment="1" applyProtection="1">
      <alignment wrapText="1"/>
    </xf>
    <xf numFmtId="0" fontId="20" fillId="0" borderId="0" xfId="38" applyNumberFormat="1" applyFont="1" applyFill="1" applyAlignment="1" applyProtection="1">
      <alignment horizontal="left" vertical="top" wrapText="1"/>
    </xf>
    <xf numFmtId="49" fontId="7" fillId="0" borderId="0" xfId="38" applyFont="1" applyFill="1" applyAlignment="1" applyProtection="1">
      <alignment vertical="top" wrapText="1"/>
    </xf>
    <xf numFmtId="49" fontId="25" fillId="0" borderId="0" xfId="38" applyFont="1" applyFill="1" applyBorder="1" applyAlignment="1" applyProtection="1">
      <alignment wrapText="1"/>
    </xf>
    <xf numFmtId="49" fontId="16" fillId="0" borderId="8" xfId="38" applyFont="1" applyFill="1" applyBorder="1" applyAlignment="1" applyProtection="1">
      <alignment wrapText="1"/>
    </xf>
    <xf numFmtId="49" fontId="16" fillId="0" borderId="9" xfId="38" applyFont="1" applyFill="1" applyBorder="1" applyAlignment="1" applyProtection="1">
      <alignment wrapText="1"/>
    </xf>
    <xf numFmtId="49" fontId="16" fillId="0" borderId="0" xfId="38" applyFont="1" applyFill="1" applyBorder="1" applyAlignment="1" applyProtection="1">
      <alignment wrapText="1"/>
    </xf>
    <xf numFmtId="49" fontId="27" fillId="0" borderId="9" xfId="38" applyFont="1" applyFill="1" applyBorder="1" applyAlignment="1" applyProtection="1">
      <alignment vertical="center" wrapText="1"/>
    </xf>
    <xf numFmtId="49" fontId="25" fillId="0" borderId="8" xfId="38" applyFont="1" applyFill="1" applyBorder="1" applyAlignment="1" applyProtection="1">
      <alignment wrapText="1"/>
    </xf>
    <xf numFmtId="49" fontId="22" fillId="0" borderId="9" xfId="38" applyFont="1" applyFill="1" applyBorder="1" applyAlignment="1" applyProtection="1">
      <alignment horizontal="left" vertical="center" wrapText="1"/>
    </xf>
    <xf numFmtId="49" fontId="27" fillId="0" borderId="9" xfId="38" applyFont="1" applyFill="1" applyBorder="1" applyAlignment="1" applyProtection="1">
      <alignment horizontal="center" vertical="center" wrapText="1"/>
    </xf>
    <xf numFmtId="49" fontId="22" fillId="0" borderId="8" xfId="38" applyFont="1" applyFill="1" applyBorder="1" applyAlignment="1" applyProtection="1">
      <alignment horizontal="left" vertical="center" wrapText="1"/>
    </xf>
    <xf numFmtId="49" fontId="22" fillId="0" borderId="0" xfId="38" applyFont="1" applyFill="1" applyBorder="1" applyAlignment="1" applyProtection="1">
      <alignment horizontal="left" vertical="center" wrapText="1"/>
    </xf>
    <xf numFmtId="49" fontId="41" fillId="2" borderId="10" xfId="36" applyNumberFormat="1" applyFont="1" applyFill="1" applyBorder="1" applyAlignment="1" applyProtection="1">
      <alignment horizontal="center" vertical="center" wrapText="1"/>
    </xf>
    <xf numFmtId="49" fontId="16" fillId="7" borderId="0" xfId="38" applyFont="1" applyFill="1" applyBorder="1" applyAlignment="1">
      <alignment wrapText="1"/>
    </xf>
    <xf numFmtId="49" fontId="41" fillId="11" borderId="10" xfId="36" applyNumberFormat="1" applyFont="1" applyFill="1" applyBorder="1" applyAlignment="1" applyProtection="1">
      <alignment horizontal="center" vertical="center" wrapText="1"/>
    </xf>
    <xf numFmtId="49" fontId="41" fillId="8" borderId="10" xfId="36" applyNumberFormat="1" applyFont="1" applyFill="1" applyBorder="1" applyAlignment="1" applyProtection="1">
      <alignment horizontal="center" vertical="center" wrapText="1"/>
    </xf>
    <xf numFmtId="49" fontId="41" fillId="12" borderId="10" xfId="36" applyNumberFormat="1" applyFont="1" applyFill="1" applyBorder="1" applyAlignment="1" applyProtection="1">
      <alignment horizontal="center" vertical="center" wrapText="1"/>
    </xf>
    <xf numFmtId="0" fontId="20" fillId="0" borderId="0" xfId="20" applyFont="1" applyFill="1" applyBorder="1" applyAlignment="1" applyProtection="1">
      <alignment horizontal="left" vertical="top" wrapText="1"/>
    </xf>
    <xf numFmtId="0" fontId="20" fillId="0" borderId="0" xfId="20" applyFont="1" applyFill="1" applyBorder="1" applyAlignment="1" applyProtection="1">
      <alignment horizontal="right" vertical="top" wrapText="1"/>
    </xf>
    <xf numFmtId="49" fontId="16" fillId="0" borderId="0" xfId="38" applyFont="1" applyFill="1" applyBorder="1" applyAlignment="1" applyProtection="1">
      <alignment vertical="top" wrapText="1"/>
    </xf>
    <xf numFmtId="0" fontId="41" fillId="0" borderId="0" xfId="38" applyNumberFormat="1" applyFont="1" applyFill="1" applyBorder="1" applyAlignment="1" applyProtection="1">
      <alignment vertical="center" wrapText="1"/>
    </xf>
    <xf numFmtId="0" fontId="41" fillId="0" borderId="0" xfId="38" applyNumberFormat="1" applyFont="1" applyFill="1" applyBorder="1" applyAlignment="1" applyProtection="1">
      <alignment vertical="top" wrapText="1"/>
    </xf>
    <xf numFmtId="0" fontId="20" fillId="0" borderId="0" xfId="20" applyFont="1" applyFill="1" applyBorder="1" applyAlignment="1" applyProtection="1">
      <alignment horizontal="left" vertical="center" wrapText="1"/>
    </xf>
    <xf numFmtId="49" fontId="13" fillId="0" borderId="0" xfId="29" applyNumberFormat="1" applyFont="1" applyFill="1" applyBorder="1" applyAlignment="1" applyProtection="1">
      <alignment wrapText="1"/>
    </xf>
    <xf numFmtId="49" fontId="13" fillId="0" borderId="0" xfId="29" applyNumberFormat="1" applyFont="1" applyFill="1" applyBorder="1" applyAlignment="1" applyProtection="1">
      <alignment horizontal="left" wrapText="1"/>
    </xf>
    <xf numFmtId="49" fontId="16" fillId="0" borderId="0" xfId="38" applyFont="1" applyFill="1" applyBorder="1" applyAlignment="1" applyProtection="1">
      <alignment horizontal="right" wrapText="1"/>
    </xf>
    <xf numFmtId="49" fontId="25" fillId="0" borderId="11" xfId="38" applyFont="1" applyFill="1" applyBorder="1" applyAlignment="1" applyProtection="1">
      <alignment wrapText="1"/>
    </xf>
    <xf numFmtId="49" fontId="22" fillId="0" borderId="12" xfId="38" applyFont="1" applyFill="1" applyBorder="1" applyAlignment="1" applyProtection="1">
      <alignment horizontal="left" vertical="center" wrapText="1"/>
    </xf>
    <xf numFmtId="49" fontId="22" fillId="0" borderId="11" xfId="38" applyFont="1" applyFill="1" applyBorder="1" applyAlignment="1" applyProtection="1">
      <alignment horizontal="left" vertical="center" wrapText="1"/>
    </xf>
    <xf numFmtId="49" fontId="22" fillId="0" borderId="13" xfId="38" applyFont="1" applyFill="1" applyBorder="1" applyAlignment="1" applyProtection="1">
      <alignment horizontal="left" vertical="center" wrapText="1"/>
    </xf>
    <xf numFmtId="49" fontId="27" fillId="0" borderId="12" xfId="38" applyFont="1" applyFill="1" applyBorder="1" applyAlignment="1" applyProtection="1">
      <alignment vertical="center" wrapText="1"/>
    </xf>
    <xf numFmtId="49" fontId="7" fillId="0" borderId="0" xfId="39" applyNumberFormat="1" applyFont="1" applyProtection="1">
      <alignment vertical="top"/>
    </xf>
    <xf numFmtId="49" fontId="7" fillId="0" borderId="0" xfId="34" applyFont="1" applyProtection="1">
      <alignment vertical="top"/>
    </xf>
    <xf numFmtId="0" fontId="7" fillId="10" borderId="7" xfId="31" applyFont="1" applyFill="1" applyBorder="1" applyAlignment="1" applyProtection="1">
      <alignment horizontal="left" vertical="center" indent="1"/>
    </xf>
    <xf numFmtId="0" fontId="43" fillId="7" borderId="0" xfId="47" applyFont="1" applyFill="1" applyBorder="1" applyAlignment="1" applyProtection="1">
      <alignment horizontal="center" vertical="center" wrapText="1"/>
    </xf>
    <xf numFmtId="0" fontId="7" fillId="7" borderId="7" xfId="47" applyFont="1" applyFill="1" applyBorder="1" applyAlignment="1" applyProtection="1">
      <alignment vertical="center" wrapText="1"/>
    </xf>
    <xf numFmtId="0" fontId="7" fillId="0" borderId="14" xfId="47" applyFont="1" applyFill="1" applyBorder="1" applyAlignment="1" applyProtection="1">
      <alignment vertical="center" wrapText="1"/>
    </xf>
    <xf numFmtId="4" fontId="9" fillId="8" borderId="6" xfId="50" applyNumberFormat="1" applyFont="1" applyFill="1" applyBorder="1" applyAlignment="1" applyProtection="1">
      <alignment horizontal="right" vertical="center" wrapText="1"/>
    </xf>
    <xf numFmtId="4" fontId="9" fillId="8" borderId="6" xfId="50" applyFont="1" applyBorder="1" applyAlignment="1" applyProtection="1">
      <alignment horizontal="right" vertical="center" wrapText="1"/>
    </xf>
    <xf numFmtId="4" fontId="9" fillId="8" borderId="6" xfId="33" applyFont="1" applyFill="1" applyBorder="1" applyAlignment="1" applyProtection="1">
      <alignment horizontal="right" vertical="center" wrapText="1"/>
    </xf>
    <xf numFmtId="4" fontId="7" fillId="8" borderId="6" xfId="50" applyNumberFormat="1" applyFont="1" applyFill="1" applyBorder="1" applyAlignment="1" applyProtection="1">
      <alignment horizontal="right" vertical="center" wrapText="1"/>
    </xf>
    <xf numFmtId="4" fontId="7" fillId="8" borderId="6" xfId="33" applyFont="1" applyFill="1" applyBorder="1" applyAlignment="1" applyProtection="1">
      <alignment horizontal="right" vertical="center" wrapText="1"/>
    </xf>
    <xf numFmtId="0" fontId="9" fillId="7" borderId="7" xfId="47" applyFont="1" applyFill="1" applyBorder="1" applyAlignment="1" applyProtection="1">
      <alignment horizontal="center" wrapText="1"/>
    </xf>
    <xf numFmtId="0" fontId="7" fillId="0" borderId="7" xfId="47" applyFont="1" applyFill="1" applyBorder="1" applyAlignment="1" applyProtection="1">
      <alignment horizontal="right" vertical="center" wrapText="1"/>
    </xf>
    <xf numFmtId="0" fontId="7" fillId="0" borderId="7" xfId="47" applyFont="1" applyFill="1" applyBorder="1" applyAlignment="1" applyProtection="1">
      <alignment vertical="center" wrapText="1"/>
    </xf>
    <xf numFmtId="0" fontId="7" fillId="7" borderId="6" xfId="47" applyFont="1" applyFill="1" applyBorder="1" applyAlignment="1" applyProtection="1">
      <alignment vertical="center" wrapText="1"/>
    </xf>
    <xf numFmtId="0" fontId="9" fillId="7" borderId="7" xfId="47" applyFont="1" applyFill="1" applyBorder="1" applyAlignment="1" applyProtection="1">
      <alignment horizontal="left"/>
    </xf>
    <xf numFmtId="4" fontId="7" fillId="0" borderId="7" xfId="33" applyFont="1" applyFill="1" applyBorder="1" applyAlignment="1" applyProtection="1">
      <alignment horizontal="right" vertical="center" wrapText="1"/>
    </xf>
    <xf numFmtId="0" fontId="7" fillId="0" borderId="7" xfId="44" applyFont="1" applyFill="1" applyBorder="1" applyAlignment="1" applyProtection="1">
      <alignment horizontal="left" vertical="center" wrapText="1" indent="1"/>
    </xf>
    <xf numFmtId="0" fontId="34" fillId="0" borderId="7" xfId="44" applyFont="1" applyFill="1" applyBorder="1" applyAlignment="1" applyProtection="1">
      <alignment horizontal="left" vertical="center" indent="1"/>
    </xf>
    <xf numFmtId="49" fontId="0" fillId="0" borderId="0" xfId="0" applyBorder="1">
      <alignment vertical="top"/>
    </xf>
    <xf numFmtId="49" fontId="0" fillId="0" borderId="7" xfId="0" applyBorder="1">
      <alignment vertical="top"/>
    </xf>
    <xf numFmtId="0" fontId="7" fillId="0" borderId="14" xfId="42" applyFont="1" applyBorder="1" applyProtection="1"/>
    <xf numFmtId="49" fontId="7" fillId="0" borderId="0" xfId="34">
      <alignment vertical="top"/>
    </xf>
    <xf numFmtId="0" fontId="7" fillId="13" borderId="15" xfId="42" applyFont="1" applyFill="1" applyBorder="1" applyAlignment="1">
      <alignment horizontal="center" vertical="center"/>
    </xf>
    <xf numFmtId="49" fontId="0" fillId="0" borderId="0" xfId="0" applyFill="1" applyProtection="1">
      <alignment vertical="top"/>
    </xf>
    <xf numFmtId="49" fontId="0" fillId="0" borderId="0" xfId="0" applyNumberFormat="1" applyAlignment="1" applyProtection="1">
      <alignment vertical="top" wrapText="1"/>
    </xf>
    <xf numFmtId="0" fontId="7" fillId="7" borderId="7" xfId="45" applyNumberFormat="1" applyFont="1" applyFill="1" applyBorder="1" applyAlignment="1" applyProtection="1">
      <alignment horizontal="center" vertical="center" wrapText="1"/>
    </xf>
    <xf numFmtId="0" fontId="7" fillId="0" borderId="16" xfId="45" applyFont="1" applyBorder="1" applyAlignment="1" applyProtection="1">
      <alignment vertical="center" wrapText="1"/>
    </xf>
    <xf numFmtId="0" fontId="7" fillId="7" borderId="16" xfId="45" applyFont="1" applyFill="1" applyBorder="1" applyAlignment="1" applyProtection="1">
      <alignment horizontal="center" wrapText="1"/>
    </xf>
    <xf numFmtId="0" fontId="7" fillId="0" borderId="0" xfId="45" applyFont="1" applyBorder="1" applyAlignment="1" applyProtection="1">
      <alignment horizontal="right" vertical="center"/>
    </xf>
    <xf numFmtId="0" fontId="7" fillId="7" borderId="7" xfId="45" applyFont="1" applyFill="1" applyBorder="1" applyAlignment="1" applyProtection="1">
      <alignment horizontal="right" vertical="center" wrapText="1" indent="1"/>
    </xf>
    <xf numFmtId="0" fontId="30" fillId="7" borderId="7" xfId="45" applyFont="1" applyFill="1" applyBorder="1" applyAlignment="1" applyProtection="1">
      <alignment horizontal="center" vertical="center" wrapText="1"/>
    </xf>
    <xf numFmtId="0" fontId="9" fillId="7" borderId="14" xfId="45" applyFont="1" applyFill="1" applyBorder="1" applyAlignment="1" applyProtection="1">
      <alignment vertical="center" wrapText="1"/>
    </xf>
    <xf numFmtId="0" fontId="0" fillId="8" borderId="6" xfId="45" applyFont="1" applyFill="1" applyBorder="1" applyAlignment="1" applyProtection="1">
      <alignment horizontal="center" vertical="center"/>
    </xf>
    <xf numFmtId="0" fontId="7" fillId="7" borderId="14" xfId="45" applyFont="1" applyFill="1" applyBorder="1" applyAlignment="1" applyProtection="1">
      <alignment vertical="center" wrapText="1"/>
    </xf>
    <xf numFmtId="0" fontId="7" fillId="8" borderId="6" xfId="45" applyNumberFormat="1" applyFont="1" applyFill="1" applyBorder="1" applyAlignment="1" applyProtection="1">
      <alignment horizontal="center" vertical="center"/>
    </xf>
    <xf numFmtId="49" fontId="7" fillId="12" borderId="6" xfId="45" applyNumberFormat="1" applyFont="1" applyFill="1" applyBorder="1" applyAlignment="1" applyProtection="1">
      <alignment horizontal="center" vertical="center" wrapText="1"/>
      <protection locked="0"/>
    </xf>
    <xf numFmtId="14" fontId="7" fillId="7" borderId="14" xfId="45" applyNumberFormat="1" applyFont="1" applyFill="1" applyBorder="1" applyAlignment="1" applyProtection="1">
      <alignment horizontal="center" vertical="center" wrapText="1"/>
    </xf>
    <xf numFmtId="49" fontId="7" fillId="8" borderId="6" xfId="45" applyNumberFormat="1" applyFont="1" applyFill="1" applyBorder="1" applyAlignment="1" applyProtection="1">
      <alignment horizontal="center" vertical="center" wrapText="1"/>
    </xf>
    <xf numFmtId="0" fontId="7" fillId="12" borderId="6" xfId="45" applyNumberFormat="1" applyFont="1" applyFill="1" applyBorder="1" applyAlignment="1" applyProtection="1">
      <alignment horizontal="center" vertical="center" wrapText="1"/>
      <protection locked="0"/>
    </xf>
    <xf numFmtId="0" fontId="24" fillId="0" borderId="7" xfId="45" applyNumberFormat="1" applyFont="1" applyFill="1" applyBorder="1" applyAlignment="1" applyProtection="1">
      <alignment horizontal="center" vertical="top" wrapText="1"/>
    </xf>
    <xf numFmtId="0" fontId="7" fillId="0" borderId="7" xfId="47" applyNumberFormat="1" applyFont="1" applyFill="1" applyBorder="1" applyAlignment="1" applyProtection="1">
      <alignment horizontal="center" vertical="center" wrapText="1"/>
    </xf>
    <xf numFmtId="0" fontId="7" fillId="8" borderId="6" xfId="47" applyNumberFormat="1" applyFont="1" applyFill="1" applyBorder="1" applyAlignment="1" applyProtection="1">
      <alignment horizontal="center" vertical="center" wrapText="1"/>
    </xf>
    <xf numFmtId="0" fontId="7" fillId="7" borderId="14" xfId="45" applyFont="1" applyFill="1" applyBorder="1" applyAlignment="1" applyProtection="1">
      <alignment horizontal="center" vertical="center" wrapText="1"/>
    </xf>
    <xf numFmtId="0" fontId="7" fillId="7" borderId="7" xfId="45" applyFont="1" applyFill="1" applyBorder="1" applyAlignment="1" applyProtection="1">
      <alignment horizontal="center" wrapText="1"/>
    </xf>
    <xf numFmtId="0" fontId="0" fillId="7" borderId="0" xfId="45" applyFont="1" applyFill="1" applyBorder="1" applyAlignment="1" applyProtection="1">
      <alignment horizontal="right" vertical="center" wrapText="1" indent="1"/>
    </xf>
    <xf numFmtId="0" fontId="7" fillId="15" borderId="6" xfId="47" applyFont="1" applyFill="1" applyBorder="1" applyAlignment="1" applyProtection="1">
      <alignment vertical="center" wrapText="1"/>
    </xf>
    <xf numFmtId="49" fontId="33" fillId="15" borderId="7" xfId="0" applyFont="1" applyFill="1" applyBorder="1" applyAlignment="1" applyProtection="1">
      <alignment horizontal="center" vertical="top"/>
    </xf>
    <xf numFmtId="4" fontId="7" fillId="15" borderId="7" xfId="33" applyFont="1" applyFill="1" applyBorder="1" applyAlignment="1" applyProtection="1">
      <alignment horizontal="center" vertical="center" wrapText="1"/>
    </xf>
    <xf numFmtId="49" fontId="41" fillId="0" borderId="0" xfId="37" applyFill="1" applyProtection="1">
      <alignment vertical="top"/>
    </xf>
    <xf numFmtId="4" fontId="7" fillId="0" borderId="14" xfId="33" applyFont="1" applyFill="1" applyBorder="1" applyAlignment="1" applyProtection="1">
      <alignment vertical="center" wrapText="1"/>
    </xf>
    <xf numFmtId="4" fontId="7" fillId="0" borderId="0" xfId="33" applyFont="1" applyFill="1" applyBorder="1" applyAlignment="1" applyProtection="1">
      <alignment vertical="center" wrapText="1"/>
    </xf>
    <xf numFmtId="4" fontId="7" fillId="0" borderId="14" xfId="33" applyFont="1" applyFill="1" applyBorder="1" applyAlignment="1" applyProtection="1">
      <alignment horizontal="center" vertical="center" wrapText="1"/>
    </xf>
    <xf numFmtId="4" fontId="9" fillId="0" borderId="0" xfId="33" applyFont="1" applyFill="1" applyBorder="1" applyAlignment="1" applyProtection="1">
      <alignment horizontal="center" vertical="center" wrapText="1"/>
    </xf>
    <xf numFmtId="0" fontId="0" fillId="15" borderId="17" xfId="47" applyFont="1" applyFill="1" applyBorder="1" applyAlignment="1" applyProtection="1">
      <alignment vertical="center" wrapText="1"/>
    </xf>
    <xf numFmtId="0" fontId="7" fillId="0" borderId="10" xfId="42" applyFont="1" applyFill="1" applyBorder="1" applyAlignment="1" applyProtection="1">
      <alignment horizontal="center" vertical="center" wrapText="1"/>
    </xf>
    <xf numFmtId="49" fontId="9" fillId="0" borderId="0" xfId="0" applyNumberFormat="1" applyFont="1" applyProtection="1">
      <alignment vertical="top"/>
    </xf>
    <xf numFmtId="49" fontId="0" fillId="0" borderId="0" xfId="0" applyNumberFormat="1" applyFont="1" applyProtection="1">
      <alignment vertical="top"/>
    </xf>
    <xf numFmtId="49" fontId="7" fillId="2" borderId="17" xfId="42" applyNumberFormat="1" applyFont="1" applyFill="1" applyBorder="1" applyAlignment="1" applyProtection="1">
      <alignment horizontal="left" vertical="center" wrapText="1"/>
      <protection locked="0"/>
    </xf>
    <xf numFmtId="0" fontId="7" fillId="8" borderId="6" xfId="45" applyNumberFormat="1" applyFont="1" applyFill="1" applyBorder="1" applyAlignment="1" applyProtection="1">
      <alignment horizontal="center" vertical="center" wrapText="1"/>
    </xf>
    <xf numFmtId="0" fontId="51" fillId="7" borderId="0" xfId="28" applyNumberFormat="1" applyFill="1" applyBorder="1" applyAlignment="1" applyProtection="1">
      <alignment vertical="center" wrapText="1"/>
    </xf>
    <xf numFmtId="0" fontId="1" fillId="0" borderId="0" xfId="41" applyProtection="1"/>
    <xf numFmtId="0" fontId="7" fillId="12" borderId="10" xfId="45" applyNumberFormat="1" applyFont="1" applyFill="1" applyBorder="1" applyAlignment="1" applyProtection="1">
      <alignment horizontal="center" vertical="center" wrapText="1"/>
      <protection locked="0"/>
    </xf>
    <xf numFmtId="4" fontId="7" fillId="0" borderId="14" xfId="47" applyNumberFormat="1" applyFont="1" applyFill="1" applyBorder="1" applyAlignment="1" applyProtection="1">
      <alignment horizontal="right" vertical="center" wrapText="1"/>
    </xf>
    <xf numFmtId="0" fontId="7" fillId="12" borderId="14" xfId="47" applyNumberFormat="1" applyFont="1" applyFill="1" applyBorder="1" applyAlignment="1" applyProtection="1">
      <alignment vertical="center" wrapText="1"/>
      <protection locked="0"/>
    </xf>
    <xf numFmtId="4" fontId="7" fillId="2" borderId="14" xfId="47" applyNumberFormat="1" applyFont="1" applyFill="1" applyBorder="1" applyAlignment="1" applyProtection="1">
      <alignment vertical="center" wrapText="1"/>
      <protection locked="0"/>
    </xf>
    <xf numFmtId="4" fontId="7" fillId="2" borderId="21" xfId="47" applyNumberFormat="1" applyFont="1" applyFill="1" applyBorder="1" applyAlignment="1" applyProtection="1">
      <alignment vertical="center" wrapText="1"/>
      <protection locked="0"/>
    </xf>
    <xf numFmtId="0" fontId="7" fillId="0" borderId="22" xfId="47" applyFont="1" applyFill="1" applyBorder="1" applyAlignment="1" applyProtection="1">
      <alignment vertical="center" wrapText="1"/>
    </xf>
    <xf numFmtId="0" fontId="7" fillId="0" borderId="23" xfId="47" applyFont="1" applyFill="1" applyBorder="1" applyAlignment="1" applyProtection="1">
      <alignment vertical="center" wrapText="1"/>
    </xf>
    <xf numFmtId="0" fontId="7" fillId="0" borderId="24" xfId="47" applyFont="1" applyFill="1" applyBorder="1" applyAlignment="1" applyProtection="1">
      <alignment vertical="center" wrapText="1"/>
    </xf>
    <xf numFmtId="0" fontId="7" fillId="0" borderId="18" xfId="47" applyFont="1" applyFill="1" applyBorder="1" applyAlignment="1" applyProtection="1">
      <alignment vertical="center" wrapText="1"/>
    </xf>
    <xf numFmtId="0" fontId="7" fillId="0" borderId="25" xfId="47" applyFont="1" applyFill="1" applyBorder="1" applyAlignment="1" applyProtection="1">
      <alignment vertical="center" wrapText="1"/>
    </xf>
    <xf numFmtId="4" fontId="7" fillId="15" borderId="26" xfId="33" applyFont="1" applyFill="1" applyBorder="1" applyAlignment="1" applyProtection="1">
      <alignment horizontal="center" vertical="center" wrapText="1"/>
    </xf>
    <xf numFmtId="4" fontId="7" fillId="15" borderId="27" xfId="33" applyFont="1" applyFill="1" applyBorder="1" applyAlignment="1" applyProtection="1">
      <alignment horizontal="center" vertical="center" wrapText="1"/>
    </xf>
    <xf numFmtId="49" fontId="33" fillId="15" borderId="18" xfId="0" applyFont="1" applyFill="1" applyBorder="1" applyAlignment="1" applyProtection="1">
      <alignment horizontal="center" vertical="center" wrapText="1"/>
    </xf>
    <xf numFmtId="4" fontId="7" fillId="15" borderId="18" xfId="33" applyFont="1" applyFill="1" applyBorder="1" applyAlignment="1" applyProtection="1">
      <alignment horizontal="center" vertical="center" wrapText="1"/>
    </xf>
    <xf numFmtId="4" fontId="7" fillId="15" borderId="25" xfId="33" applyFont="1" applyFill="1" applyBorder="1" applyAlignment="1" applyProtection="1">
      <alignment horizontal="center" vertical="center" wrapText="1"/>
    </xf>
    <xf numFmtId="49" fontId="33" fillId="15" borderId="26" xfId="0" applyFont="1" applyFill="1" applyBorder="1" applyAlignment="1" applyProtection="1">
      <alignment horizontal="center" vertical="center" wrapText="1"/>
    </xf>
    <xf numFmtId="0" fontId="7" fillId="12" borderId="17" xfId="47" applyNumberFormat="1" applyFont="1" applyFill="1" applyBorder="1" applyAlignment="1" applyProtection="1">
      <alignment horizontal="center" vertical="center" wrapText="1"/>
      <protection locked="0"/>
    </xf>
    <xf numFmtId="4" fontId="7" fillId="2" borderId="10" xfId="47" applyNumberFormat="1" applyFont="1" applyFill="1" applyBorder="1" applyAlignment="1" applyProtection="1">
      <alignment vertical="center" wrapText="1"/>
      <protection locked="0"/>
    </xf>
    <xf numFmtId="0" fontId="46" fillId="0" borderId="0" xfId="42" applyFont="1" applyAlignment="1" applyProtection="1">
      <alignment horizontal="center" vertical="center"/>
    </xf>
    <xf numFmtId="0" fontId="46" fillId="7" borderId="0" xfId="42" applyFont="1" applyFill="1" applyBorder="1" applyAlignment="1" applyProtection="1">
      <alignment horizontal="center" vertical="center"/>
    </xf>
    <xf numFmtId="49" fontId="7" fillId="0" borderId="28" xfId="42" applyNumberFormat="1" applyFont="1" applyFill="1" applyBorder="1" applyAlignment="1" applyProtection="1">
      <alignment horizontal="left" vertical="center" wrapText="1"/>
    </xf>
    <xf numFmtId="0" fontId="47" fillId="0" borderId="0" xfId="42" applyFont="1" applyProtection="1"/>
    <xf numFmtId="0" fontId="48" fillId="7" borderId="0" xfId="42" applyFont="1" applyFill="1" applyBorder="1" applyAlignment="1" applyProtection="1">
      <alignment horizontal="center" vertical="center"/>
    </xf>
    <xf numFmtId="0" fontId="49" fillId="0" borderId="7" xfId="31" applyFont="1" applyFill="1" applyBorder="1" applyAlignment="1" applyProtection="1">
      <alignment vertical="center"/>
    </xf>
    <xf numFmtId="0" fontId="53" fillId="9" borderId="0" xfId="35" applyFill="1" applyProtection="1"/>
    <xf numFmtId="0" fontId="53" fillId="0" borderId="0" xfId="35"/>
    <xf numFmtId="0" fontId="53" fillId="0" borderId="0" xfId="35" applyBorder="1"/>
    <xf numFmtId="0" fontId="50" fillId="7" borderId="0" xfId="42" applyFont="1" applyFill="1" applyBorder="1" applyAlignment="1" applyProtection="1">
      <alignment horizontal="center" vertical="center"/>
    </xf>
    <xf numFmtId="0" fontId="47" fillId="7" borderId="17" xfId="42" applyFont="1" applyFill="1" applyBorder="1" applyAlignment="1" applyProtection="1">
      <alignment horizontal="center" vertical="center"/>
    </xf>
    <xf numFmtId="49" fontId="47" fillId="2" borderId="10" xfId="42" applyNumberFormat="1" applyFont="1" applyFill="1" applyBorder="1" applyAlignment="1" applyProtection="1">
      <alignment horizontal="left" vertical="center" wrapText="1"/>
      <protection locked="0"/>
    </xf>
    <xf numFmtId="0" fontId="49" fillId="0" borderId="0" xfId="31" applyFont="1" applyFill="1" applyBorder="1" applyAlignment="1" applyProtection="1">
      <alignment vertical="center"/>
    </xf>
    <xf numFmtId="0" fontId="7" fillId="0" borderId="0" xfId="42" applyFont="1" applyBorder="1" applyProtection="1"/>
    <xf numFmtId="0" fontId="47" fillId="7" borderId="7" xfId="42" applyFont="1" applyFill="1" applyBorder="1" applyProtection="1"/>
    <xf numFmtId="0" fontId="47" fillId="7" borderId="6" xfId="47" applyFont="1" applyFill="1" applyBorder="1" applyAlignment="1" applyProtection="1">
      <alignment horizontal="center" vertical="center" wrapText="1"/>
    </xf>
    <xf numFmtId="0" fontId="47" fillId="0" borderId="28" xfId="32" applyFont="1" applyFill="1" applyBorder="1" applyAlignment="1" applyProtection="1">
      <alignment horizontal="center" vertical="center" wrapText="1"/>
    </xf>
    <xf numFmtId="0" fontId="12" fillId="7" borderId="6" xfId="42" applyFont="1" applyFill="1" applyBorder="1" applyAlignment="1" applyProtection="1">
      <alignment horizontal="center" vertical="center"/>
    </xf>
    <xf numFmtId="0" fontId="0" fillId="0" borderId="0" xfId="47" applyFont="1" applyFill="1" applyBorder="1" applyAlignment="1" applyProtection="1">
      <alignment vertical="center" wrapText="1"/>
    </xf>
    <xf numFmtId="49" fontId="7" fillId="0" borderId="0" xfId="47" applyNumberFormat="1" applyFont="1" applyFill="1" applyBorder="1" applyAlignment="1" applyProtection="1">
      <alignment horizontal="center" vertical="center" wrapText="1"/>
    </xf>
    <xf numFmtId="4" fontId="7" fillId="8" borderId="6" xfId="50" applyFont="1" applyBorder="1" applyAlignment="1" applyProtection="1">
      <alignment horizontal="right" vertical="center" wrapText="1"/>
    </xf>
    <xf numFmtId="4" fontId="7" fillId="8" borderId="10" xfId="50" applyNumberFormat="1" applyFont="1" applyFill="1" applyBorder="1" applyAlignment="1" applyProtection="1">
      <alignment horizontal="right" vertical="center" wrapText="1"/>
    </xf>
    <xf numFmtId="0" fontId="7" fillId="12" borderId="17" xfId="47" applyNumberFormat="1" applyFont="1" applyFill="1" applyBorder="1" applyAlignment="1" applyProtection="1">
      <alignment vertical="center" wrapText="1"/>
      <protection locked="0"/>
    </xf>
    <xf numFmtId="4" fontId="7" fillId="8" borderId="17" xfId="50" applyNumberFormat="1" applyFont="1" applyFill="1" applyBorder="1" applyAlignment="1" applyProtection="1">
      <alignment horizontal="right" vertical="center" wrapText="1"/>
    </xf>
    <xf numFmtId="4" fontId="7" fillId="2" borderId="17" xfId="47" applyNumberFormat="1" applyFont="1" applyFill="1" applyBorder="1" applyAlignment="1" applyProtection="1">
      <alignment vertical="center" wrapText="1"/>
      <protection locked="0"/>
    </xf>
    <xf numFmtId="4" fontId="7" fillId="8" borderId="17" xfId="50" applyFont="1" applyBorder="1" applyAlignment="1" applyProtection="1">
      <alignment horizontal="right" vertical="center" wrapText="1"/>
    </xf>
    <xf numFmtId="0" fontId="7" fillId="0" borderId="7" xfId="45" applyFont="1" applyBorder="1" applyAlignment="1" applyProtection="1">
      <alignment vertical="center" wrapText="1"/>
    </xf>
    <xf numFmtId="0" fontId="9" fillId="0" borderId="6" xfId="47" applyFont="1" applyFill="1" applyBorder="1" applyAlignment="1" applyProtection="1">
      <alignment vertical="center" wrapText="1"/>
    </xf>
    <xf numFmtId="49" fontId="33" fillId="15" borderId="25" xfId="0" applyFont="1" applyFill="1" applyBorder="1" applyAlignment="1" applyProtection="1">
      <alignment horizontal="left" vertical="center"/>
    </xf>
    <xf numFmtId="49" fontId="33" fillId="15" borderId="20" xfId="0" applyFont="1" applyFill="1" applyBorder="1" applyAlignment="1" applyProtection="1">
      <alignment horizontal="center" vertical="top" wrapText="1"/>
    </xf>
    <xf numFmtId="0" fontId="20" fillId="0" borderId="0" xfId="31" applyFont="1" applyFill="1" applyBorder="1" applyAlignment="1" applyProtection="1">
      <alignment horizontal="left" vertical="center"/>
    </xf>
    <xf numFmtId="0" fontId="20" fillId="0" borderId="0" xfId="31" applyFont="1" applyFill="1" applyBorder="1" applyAlignment="1" applyProtection="1">
      <alignment vertical="center"/>
    </xf>
    <xf numFmtId="0" fontId="7" fillId="15" borderId="30" xfId="47" applyFont="1" applyFill="1" applyBorder="1" applyAlignment="1" applyProtection="1">
      <alignment vertical="center" wrapText="1"/>
    </xf>
    <xf numFmtId="49" fontId="33" fillId="15" borderId="31" xfId="0" applyFont="1" applyFill="1" applyBorder="1" applyAlignment="1" applyProtection="1">
      <alignment horizontal="center" vertical="top"/>
    </xf>
    <xf numFmtId="4" fontId="7" fillId="15" borderId="31" xfId="33" applyFont="1" applyFill="1" applyBorder="1" applyAlignment="1" applyProtection="1">
      <alignment horizontal="center" vertical="center" wrapText="1"/>
    </xf>
    <xf numFmtId="0" fontId="0" fillId="0" borderId="17" xfId="47" applyFont="1" applyFill="1" applyBorder="1" applyAlignment="1" applyProtection="1">
      <alignment horizontal="left" vertical="center" indent="1"/>
    </xf>
    <xf numFmtId="0" fontId="0" fillId="0" borderId="10" xfId="32" applyFont="1" applyFill="1" applyBorder="1" applyAlignment="1" applyProtection="1">
      <alignment horizontal="center" vertical="center" wrapText="1"/>
    </xf>
    <xf numFmtId="4" fontId="7" fillId="0" borderId="0" xfId="47" applyNumberFormat="1" applyFont="1" applyFill="1" applyBorder="1" applyAlignment="1" applyProtection="1">
      <alignment horizontal="right" vertical="center" wrapText="1"/>
    </xf>
    <xf numFmtId="49" fontId="33" fillId="15" borderId="34" xfId="0" applyFont="1" applyFill="1" applyBorder="1" applyAlignment="1" applyProtection="1">
      <alignment horizontal="center" vertical="top" wrapText="1"/>
    </xf>
    <xf numFmtId="0" fontId="0" fillId="0" borderId="6" xfId="32" applyFont="1" applyFill="1" applyBorder="1" applyAlignment="1" applyProtection="1">
      <alignment vertical="center" wrapText="1"/>
    </xf>
    <xf numFmtId="0" fontId="0" fillId="0" borderId="29" xfId="32" applyFont="1" applyFill="1" applyBorder="1" applyAlignment="1" applyProtection="1">
      <alignment horizontal="center" vertical="center" wrapText="1"/>
    </xf>
    <xf numFmtId="0" fontId="21" fillId="0" borderId="0" xfId="31" applyFont="1" applyFill="1" applyBorder="1" applyAlignment="1" applyProtection="1">
      <alignment horizontal="left" vertical="center"/>
    </xf>
    <xf numFmtId="49" fontId="33" fillId="15" borderId="18" xfId="0" applyFont="1" applyFill="1" applyBorder="1" applyAlignment="1" applyProtection="1">
      <alignment horizontal="center" vertical="top" wrapText="1"/>
    </xf>
    <xf numFmtId="49" fontId="0" fillId="0" borderId="10" xfId="47" applyNumberFormat="1" applyFont="1" applyFill="1" applyBorder="1" applyAlignment="1" applyProtection="1">
      <alignment horizontal="center" vertical="center" wrapText="1"/>
    </xf>
    <xf numFmtId="49" fontId="7" fillId="0" borderId="14" xfId="47" applyNumberFormat="1" applyFont="1" applyFill="1" applyBorder="1" applyAlignment="1" applyProtection="1">
      <alignment horizontal="center" vertical="center" wrapText="1"/>
    </xf>
    <xf numFmtId="0" fontId="7" fillId="0" borderId="18" xfId="47" applyFont="1" applyFill="1" applyBorder="1" applyAlignment="1" applyProtection="1">
      <alignment vertical="center"/>
    </xf>
    <xf numFmtId="0" fontId="55" fillId="0" borderId="18" xfId="47" applyFont="1" applyFill="1" applyBorder="1" applyAlignment="1" applyProtection="1">
      <alignment horizontal="left" vertical="center" indent="1"/>
    </xf>
    <xf numFmtId="49" fontId="0" fillId="0" borderId="17" xfId="47" applyNumberFormat="1" applyFont="1" applyFill="1" applyBorder="1" applyAlignment="1" applyProtection="1">
      <alignment horizontal="center" vertical="center" wrapText="1"/>
    </xf>
    <xf numFmtId="49" fontId="7" fillId="0" borderId="0" xfId="91">
      <alignment vertical="top"/>
    </xf>
    <xf numFmtId="49" fontId="33" fillId="15" borderId="18" xfId="0" applyFont="1" applyFill="1" applyBorder="1" applyAlignment="1" applyProtection="1">
      <alignment horizontal="center" vertical="center"/>
    </xf>
    <xf numFmtId="14" fontId="7" fillId="8" borderId="6" xfId="45" applyNumberFormat="1" applyFont="1" applyFill="1" applyBorder="1" applyAlignment="1" applyProtection="1">
      <alignment horizontal="center" vertical="center" wrapText="1"/>
    </xf>
    <xf numFmtId="14" fontId="7" fillId="8" borderId="6" xfId="47" applyNumberFormat="1" applyFont="1" applyFill="1" applyBorder="1" applyAlignment="1" applyProtection="1">
      <alignment horizontal="center" vertical="center" wrapText="1"/>
    </xf>
    <xf numFmtId="0" fontId="0" fillId="0" borderId="6" xfId="32" applyFont="1" applyFill="1" applyBorder="1" applyAlignment="1" applyProtection="1">
      <alignment horizontal="center" vertical="center" wrapText="1"/>
    </xf>
    <xf numFmtId="0" fontId="7" fillId="7" borderId="6" xfId="47" applyFont="1" applyFill="1" applyBorder="1" applyAlignment="1" applyProtection="1">
      <alignment horizontal="center" vertical="center" wrapText="1"/>
    </xf>
    <xf numFmtId="0" fontId="0" fillId="0" borderId="28" xfId="32" applyFont="1" applyFill="1" applyBorder="1" applyAlignment="1" applyProtection="1">
      <alignment horizontal="center" vertical="center" wrapText="1"/>
    </xf>
    <xf numFmtId="0" fontId="7" fillId="15" borderId="17" xfId="47" applyFont="1" applyFill="1" applyBorder="1" applyAlignment="1" applyProtection="1">
      <alignment vertical="center" wrapText="1"/>
    </xf>
    <xf numFmtId="49" fontId="33" fillId="15" borderId="18" xfId="0" applyFont="1" applyFill="1" applyBorder="1" applyAlignment="1" applyProtection="1">
      <alignment horizontal="center" vertical="top"/>
    </xf>
    <xf numFmtId="49" fontId="33" fillId="15" borderId="25" xfId="0" applyFont="1" applyFill="1" applyBorder="1" applyAlignment="1" applyProtection="1">
      <alignment horizontal="center" vertical="top"/>
    </xf>
    <xf numFmtId="49" fontId="33" fillId="15" borderId="18" xfId="0" applyFont="1" applyFill="1" applyBorder="1" applyAlignment="1" applyProtection="1">
      <alignment horizontal="left" vertical="center" indent="1"/>
    </xf>
    <xf numFmtId="0" fontId="7" fillId="7" borderId="17" xfId="47" applyFont="1" applyFill="1" applyBorder="1" applyAlignment="1" applyProtection="1">
      <alignment horizontal="center" vertical="center" wrapText="1"/>
    </xf>
    <xf numFmtId="49" fontId="0" fillId="0" borderId="0" xfId="0" applyBorder="1">
      <alignment vertical="top"/>
    </xf>
    <xf numFmtId="0" fontId="0" fillId="0" borderId="28" xfId="32" applyFont="1" applyFill="1" applyBorder="1" applyAlignment="1" applyProtection="1">
      <alignment horizontal="center" vertical="center" wrapText="1"/>
    </xf>
    <xf numFmtId="49" fontId="7" fillId="8" borderId="10" xfId="45" applyNumberFormat="1" applyFont="1" applyFill="1" applyBorder="1" applyAlignment="1" applyProtection="1">
      <alignment horizontal="center" vertical="center" wrapText="1"/>
    </xf>
    <xf numFmtId="0" fontId="0" fillId="8" borderId="10" xfId="0" applyNumberFormat="1" applyFill="1" applyBorder="1" applyAlignment="1" applyProtection="1">
      <alignment horizontal="center" vertical="center"/>
    </xf>
    <xf numFmtId="0" fontId="0" fillId="0" borderId="6" xfId="32" applyFont="1" applyFill="1" applyBorder="1" applyAlignment="1" applyProtection="1">
      <alignment horizontal="center" vertical="center" wrapText="1"/>
    </xf>
    <xf numFmtId="0" fontId="0" fillId="0" borderId="18" xfId="32" applyFont="1" applyFill="1" applyBorder="1" applyAlignment="1" applyProtection="1">
      <alignment horizontal="center" vertical="center" wrapText="1"/>
    </xf>
    <xf numFmtId="0" fontId="0" fillId="0" borderId="17" xfId="32" applyFont="1" applyFill="1" applyBorder="1" applyAlignment="1" applyProtection="1">
      <alignment horizontal="center" vertical="center" wrapText="1"/>
    </xf>
    <xf numFmtId="4" fontId="7" fillId="0" borderId="17" xfId="47" applyNumberFormat="1" applyFont="1" applyFill="1" applyBorder="1" applyAlignment="1" applyProtection="1">
      <alignment vertical="center" wrapText="1"/>
    </xf>
    <xf numFmtId="0" fontId="0" fillId="7" borderId="32" xfId="45" applyFont="1" applyFill="1" applyBorder="1" applyAlignment="1" applyProtection="1">
      <alignment horizontal="right" vertical="center" wrapText="1" indent="1"/>
    </xf>
    <xf numFmtId="0" fontId="7" fillId="7" borderId="0" xfId="45" applyFont="1" applyFill="1" applyBorder="1" applyAlignment="1" applyProtection="1">
      <alignment horizontal="center" wrapText="1"/>
    </xf>
    <xf numFmtId="4" fontId="7" fillId="0" borderId="14" xfId="47" applyNumberFormat="1" applyFont="1" applyFill="1" applyBorder="1" applyAlignment="1" applyProtection="1">
      <alignment vertical="center" wrapText="1"/>
    </xf>
    <xf numFmtId="0" fontId="0" fillId="0" borderId="28" xfId="32" applyFon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xf>
    <xf numFmtId="49" fontId="0" fillId="0" borderId="0" xfId="0" applyAlignment="1">
      <alignment horizontal="center" vertical="center"/>
    </xf>
    <xf numFmtId="0" fontId="0" fillId="0" borderId="0" xfId="47" applyFont="1" applyFill="1" applyBorder="1" applyAlignment="1" applyProtection="1">
      <alignment vertical="center"/>
    </xf>
    <xf numFmtId="0" fontId="55" fillId="0" borderId="0" xfId="47" applyFont="1" applyFill="1" applyAlignment="1" applyProtection="1">
      <alignment vertical="center"/>
    </xf>
    <xf numFmtId="0" fontId="55" fillId="0" borderId="0" xfId="47" applyFont="1" applyFill="1" applyAlignment="1" applyProtection="1">
      <alignment vertical="center" wrapText="1"/>
    </xf>
    <xf numFmtId="0" fontId="55" fillId="0" borderId="14" xfId="47" applyFont="1" applyFill="1" applyBorder="1" applyAlignment="1" applyProtection="1">
      <alignment vertical="center" wrapText="1"/>
    </xf>
    <xf numFmtId="49" fontId="55" fillId="0" borderId="0" xfId="0" applyFont="1">
      <alignment vertical="top"/>
    </xf>
    <xf numFmtId="0" fontId="68" fillId="0" borderId="0" xfId="35" applyFont="1"/>
    <xf numFmtId="0" fontId="55" fillId="0" borderId="0" xfId="42" applyFont="1" applyProtection="1"/>
    <xf numFmtId="0" fontId="3" fillId="0" borderId="0" xfId="100" applyNumberFormat="1"/>
    <xf numFmtId="0" fontId="3" fillId="0" borderId="0" xfId="100"/>
    <xf numFmtId="0" fontId="55" fillId="0" borderId="0" xfId="45" applyFont="1" applyAlignment="1" applyProtection="1">
      <alignment vertical="center" wrapText="1"/>
    </xf>
    <xf numFmtId="0" fontId="55" fillId="0" borderId="0" xfId="45" applyFont="1" applyFill="1" applyAlignment="1" applyProtection="1">
      <alignment vertical="center"/>
    </xf>
    <xf numFmtId="0" fontId="69" fillId="0" borderId="0" xfId="45" applyFont="1" applyAlignment="1" applyProtection="1">
      <alignment vertical="center" wrapText="1"/>
    </xf>
    <xf numFmtId="4" fontId="55" fillId="0" borderId="0" xfId="45" applyNumberFormat="1" applyFont="1" applyAlignment="1" applyProtection="1">
      <alignment vertical="center" wrapText="1"/>
    </xf>
    <xf numFmtId="49" fontId="0" fillId="0" borderId="0" xfId="0" applyAlignment="1">
      <alignment horizontal="left" vertical="top" indent="1"/>
    </xf>
    <xf numFmtId="14" fontId="7" fillId="8" borderId="10" xfId="45" applyNumberFormat="1" applyFont="1" applyFill="1" applyBorder="1" applyAlignment="1" applyProtection="1">
      <alignment horizontal="center" vertical="center" wrapText="1"/>
    </xf>
    <xf numFmtId="49" fontId="70" fillId="0" borderId="14" xfId="0" applyFont="1" applyFill="1" applyBorder="1" applyAlignment="1" applyProtection="1">
      <alignment horizontal="left" vertical="center" indent="1"/>
    </xf>
    <xf numFmtId="49" fontId="55" fillId="0" borderId="0" xfId="0" applyFont="1" applyAlignment="1">
      <alignment vertical="center"/>
    </xf>
    <xf numFmtId="0" fontId="7" fillId="12" borderId="17" xfId="47" applyFont="1" applyFill="1" applyBorder="1" applyAlignment="1" applyProtection="1">
      <alignment horizontal="left" vertical="center" wrapText="1" indent="1"/>
      <protection locked="0"/>
    </xf>
    <xf numFmtId="49" fontId="0" fillId="12" borderId="17" xfId="0" applyFill="1" applyBorder="1" applyAlignment="1" applyProtection="1">
      <alignment horizontal="left" vertical="center" indent="1"/>
      <protection locked="0"/>
    </xf>
    <xf numFmtId="49" fontId="0" fillId="8" borderId="10" xfId="0" applyNumberFormat="1" applyFill="1" applyBorder="1" applyAlignment="1" applyProtection="1">
      <alignment horizontal="left" vertical="center" indent="1"/>
    </xf>
    <xf numFmtId="49" fontId="51" fillId="8" borderId="10" xfId="28" applyNumberFormat="1" applyFill="1" applyBorder="1" applyAlignment="1" applyProtection="1">
      <alignment horizontal="center" vertical="center" wrapText="1"/>
    </xf>
    <xf numFmtId="0" fontId="0" fillId="8" borderId="6" xfId="45" applyFont="1" applyFill="1" applyBorder="1" applyAlignment="1" applyProtection="1">
      <alignment horizontal="center" vertical="center" wrapText="1"/>
    </xf>
    <xf numFmtId="4" fontId="7" fillId="0" borderId="10" xfId="47" applyNumberFormat="1" applyFont="1" applyFill="1" applyBorder="1" applyAlignment="1" applyProtection="1">
      <alignment vertical="center" wrapText="1"/>
    </xf>
    <xf numFmtId="0" fontId="7" fillId="7" borderId="10" xfId="45" applyNumberFormat="1" applyFont="1" applyFill="1" applyBorder="1" applyAlignment="1" applyProtection="1">
      <alignment horizontal="center" vertical="center" wrapText="1"/>
    </xf>
    <xf numFmtId="49" fontId="7" fillId="7" borderId="10" xfId="45" applyNumberFormat="1" applyFont="1" applyFill="1" applyBorder="1" applyAlignment="1" applyProtection="1">
      <alignment horizontal="center" vertical="center" wrapText="1"/>
    </xf>
    <xf numFmtId="49" fontId="72" fillId="0" borderId="0" xfId="0" applyFont="1">
      <alignment vertical="top"/>
    </xf>
    <xf numFmtId="49" fontId="9" fillId="0" borderId="0" xfId="0" applyFont="1" applyFill="1" applyBorder="1" applyAlignment="1" applyProtection="1">
      <alignment horizontal="left" vertical="center"/>
    </xf>
    <xf numFmtId="0" fontId="9" fillId="0" borderId="7" xfId="47" applyFont="1" applyFill="1" applyBorder="1" applyAlignment="1" applyProtection="1">
      <alignment horizontal="left" vertical="center" wrapText="1"/>
    </xf>
    <xf numFmtId="0" fontId="0" fillId="0" borderId="7" xfId="47" applyFont="1" applyFill="1" applyBorder="1" applyAlignment="1" applyProtection="1">
      <alignment horizontal="left" vertical="center" wrapText="1" indent="1"/>
    </xf>
    <xf numFmtId="0" fontId="7" fillId="0" borderId="7" xfId="47" applyFont="1" applyFill="1" applyBorder="1" applyAlignment="1" applyProtection="1">
      <alignment horizontal="left" vertical="center" wrapText="1" indent="1"/>
    </xf>
    <xf numFmtId="0" fontId="9" fillId="10" borderId="7" xfId="31" applyFont="1" applyFill="1" applyBorder="1" applyAlignment="1" applyProtection="1">
      <alignment horizontal="left" vertical="center" wrapText="1" indent="1"/>
    </xf>
    <xf numFmtId="49" fontId="74" fillId="15" borderId="17" xfId="0" applyFont="1" applyFill="1" applyBorder="1" applyAlignment="1" applyProtection="1">
      <alignment horizontal="left" vertical="top" wrapText="1"/>
    </xf>
    <xf numFmtId="49" fontId="74" fillId="15" borderId="19" xfId="0" applyFont="1" applyFill="1" applyBorder="1" applyAlignment="1" applyProtection="1">
      <alignment horizontal="left" vertical="top" wrapText="1"/>
    </xf>
    <xf numFmtId="49" fontId="51" fillId="0" borderId="10" xfId="28" applyNumberFormat="1" applyFill="1" applyBorder="1" applyAlignment="1" applyProtection="1">
      <alignment horizontal="center" vertical="center" wrapText="1"/>
    </xf>
    <xf numFmtId="0" fontId="0" fillId="0" borderId="0" xfId="0" applyNumberFormat="1">
      <alignment vertical="top"/>
    </xf>
    <xf numFmtId="49" fontId="7" fillId="0" borderId="0" xfId="45" applyNumberFormat="1" applyFont="1" applyAlignment="1" applyProtection="1">
      <alignment vertical="center"/>
    </xf>
    <xf numFmtId="49" fontId="0" fillId="0" borderId="0" xfId="0" applyBorder="1">
      <alignment vertical="top"/>
    </xf>
    <xf numFmtId="0" fontId="0" fillId="0" borderId="6" xfId="32" applyFont="1" applyFill="1" applyBorder="1" applyAlignment="1" applyProtection="1">
      <alignment horizontal="center" vertical="center" wrapText="1"/>
    </xf>
    <xf numFmtId="0" fontId="7" fillId="7" borderId="0" xfId="47" applyFont="1" applyFill="1" applyBorder="1" applyAlignment="1" applyProtection="1">
      <alignment horizontal="center" vertical="center" wrapText="1"/>
    </xf>
    <xf numFmtId="0" fontId="9" fillId="0" borderId="7" xfId="47" applyFont="1" applyFill="1" applyBorder="1" applyAlignment="1" applyProtection="1">
      <alignment vertical="center" wrapText="1"/>
    </xf>
    <xf numFmtId="0" fontId="20" fillId="0" borderId="14" xfId="31" applyFont="1" applyFill="1" applyBorder="1" applyAlignment="1" applyProtection="1">
      <alignment horizontal="center" vertical="center" wrapText="1"/>
    </xf>
    <xf numFmtId="0" fontId="7" fillId="7" borderId="7" xfId="47" applyFont="1" applyFill="1" applyBorder="1" applyAlignment="1" applyProtection="1">
      <alignment horizontal="center" vertical="center" wrapText="1"/>
    </xf>
    <xf numFmtId="0" fontId="7" fillId="0" borderId="6" xfId="47" applyFont="1" applyFill="1" applyBorder="1" applyAlignment="1" applyProtection="1">
      <alignment vertical="center" wrapText="1"/>
    </xf>
    <xf numFmtId="49" fontId="9" fillId="0" borderId="6" xfId="47" applyNumberFormat="1" applyFont="1" applyFill="1" applyBorder="1" applyAlignment="1" applyProtection="1">
      <alignment horizontal="center" vertical="center" wrapText="1"/>
    </xf>
    <xf numFmtId="49" fontId="9" fillId="0" borderId="7" xfId="47" applyNumberFormat="1" applyFont="1" applyFill="1" applyBorder="1" applyAlignment="1" applyProtection="1">
      <alignment horizontal="center" vertical="center" wrapText="1"/>
    </xf>
    <xf numFmtId="49" fontId="0" fillId="0" borderId="6" xfId="47" applyNumberFormat="1" applyFont="1" applyFill="1" applyBorder="1" applyAlignment="1" applyProtection="1">
      <alignment horizontal="center" vertical="center" wrapText="1"/>
    </xf>
    <xf numFmtId="0" fontId="0" fillId="0" borderId="7" xfId="47" applyFont="1" applyFill="1" applyBorder="1" applyAlignment="1" applyProtection="1">
      <alignment vertical="center" wrapText="1"/>
    </xf>
    <xf numFmtId="0" fontId="0" fillId="0" borderId="6" xfId="47" applyFont="1" applyFill="1" applyBorder="1" applyAlignment="1" applyProtection="1">
      <alignment vertical="center" wrapText="1"/>
    </xf>
    <xf numFmtId="49" fontId="0" fillId="0" borderId="7" xfId="47" applyNumberFormat="1" applyFont="1" applyFill="1" applyBorder="1" applyAlignment="1" applyProtection="1">
      <alignment horizontal="center" vertical="center" wrapText="1"/>
    </xf>
    <xf numFmtId="0" fontId="0" fillId="0" borderId="6" xfId="47" applyFont="1" applyFill="1" applyBorder="1" applyAlignment="1" applyProtection="1">
      <alignment horizontal="left" vertical="center" wrapText="1" indent="1"/>
    </xf>
    <xf numFmtId="0" fontId="7" fillId="0" borderId="6" xfId="47" applyFont="1" applyFill="1" applyBorder="1" applyAlignment="1" applyProtection="1">
      <alignment horizontal="left" vertical="center" wrapText="1" indent="1"/>
    </xf>
    <xf numFmtId="0" fontId="7" fillId="0" borderId="14" xfId="47" applyNumberFormat="1" applyFont="1" applyFill="1" applyBorder="1" applyAlignment="1" applyProtection="1">
      <alignment vertical="center" wrapText="1"/>
    </xf>
    <xf numFmtId="0" fontId="7" fillId="7" borderId="6" xfId="47" applyNumberFormat="1" applyFont="1" applyFill="1" applyBorder="1" applyAlignment="1" applyProtection="1">
      <alignment horizontal="center" vertical="center" wrapText="1"/>
    </xf>
    <xf numFmtId="49" fontId="0" fillId="7" borderId="10" xfId="47" applyNumberFormat="1" applyFont="1" applyFill="1" applyBorder="1" applyAlignment="1" applyProtection="1">
      <alignment horizontal="center" vertical="center" wrapText="1"/>
    </xf>
    <xf numFmtId="0" fontId="7" fillId="7" borderId="17" xfId="47" applyNumberFormat="1" applyFont="1" applyFill="1" applyBorder="1" applyAlignment="1" applyProtection="1">
      <alignment horizontal="center" vertical="center" wrapText="1"/>
    </xf>
    <xf numFmtId="0" fontId="7" fillId="7" borderId="0" xfId="47" applyFont="1" applyFill="1" applyBorder="1" applyAlignment="1" applyProtection="1">
      <alignment horizontal="center" vertical="center" wrapText="1"/>
    </xf>
    <xf numFmtId="4" fontId="7" fillId="2" borderId="10" xfId="50" applyNumberFormat="1" applyFont="1" applyFill="1" applyBorder="1" applyAlignment="1" applyProtection="1">
      <alignment horizontal="right" vertical="center" wrapText="1"/>
      <protection locked="0"/>
    </xf>
    <xf numFmtId="0" fontId="7" fillId="0" borderId="10" xfId="47" applyNumberFormat="1" applyFont="1" applyFill="1" applyBorder="1" applyAlignment="1" applyProtection="1">
      <alignment vertical="center" wrapText="1"/>
    </xf>
    <xf numFmtId="0" fontId="75" fillId="7" borderId="0" xfId="47" applyFont="1" applyFill="1" applyBorder="1" applyAlignment="1" applyProtection="1">
      <alignment horizontal="center" vertical="center" wrapText="1"/>
    </xf>
    <xf numFmtId="0" fontId="55" fillId="7" borderId="0" xfId="47" applyFont="1" applyFill="1" applyBorder="1" applyAlignment="1" applyProtection="1">
      <alignment vertical="center" wrapText="1"/>
    </xf>
    <xf numFmtId="0" fontId="7" fillId="7" borderId="0" xfId="47" applyFont="1" applyFill="1" applyBorder="1" applyAlignment="1" applyProtection="1">
      <alignment horizontal="center" vertical="center" wrapText="1"/>
    </xf>
    <xf numFmtId="22" fontId="7" fillId="0" borderId="0" xfId="42" applyNumberFormat="1" applyFont="1" applyAlignment="1" applyProtection="1">
      <alignment horizontal="left" vertical="center" wrapText="1"/>
    </xf>
    <xf numFmtId="49" fontId="0" fillId="0" borderId="0" xfId="0" applyNumberFormat="1">
      <alignment vertical="top"/>
    </xf>
    <xf numFmtId="0" fontId="7" fillId="8" borderId="10" xfId="45" applyNumberFormat="1" applyFont="1" applyFill="1" applyBorder="1" applyAlignment="1" applyProtection="1">
      <alignment horizontal="center" vertical="center" wrapText="1"/>
    </xf>
    <xf numFmtId="4" fontId="7" fillId="7" borderId="14" xfId="47" applyNumberFormat="1" applyFont="1" applyFill="1" applyBorder="1" applyAlignment="1" applyProtection="1">
      <alignment vertical="center" wrapText="1"/>
    </xf>
    <xf numFmtId="4" fontId="7" fillId="7" borderId="17" xfId="47" applyNumberFormat="1" applyFont="1" applyFill="1" applyBorder="1" applyAlignment="1" applyProtection="1">
      <alignment vertical="center" wrapText="1"/>
    </xf>
    <xf numFmtId="4" fontId="7" fillId="7" borderId="10" xfId="50" applyNumberFormat="1" applyFont="1" applyFill="1" applyBorder="1" applyAlignment="1" applyProtection="1">
      <alignment horizontal="right" vertical="center" wrapText="1"/>
    </xf>
    <xf numFmtId="4" fontId="7" fillId="7" borderId="10" xfId="47" applyNumberFormat="1" applyFont="1" applyFill="1" applyBorder="1" applyAlignment="1" applyProtection="1">
      <alignment vertical="center" wrapText="1"/>
    </xf>
    <xf numFmtId="49" fontId="51" fillId="8" borderId="10" xfId="28" applyNumberFormat="1" applyFill="1" applyBorder="1" applyAlignment="1" applyProtection="1">
      <alignment horizontal="center" vertical="center" wrapText="1"/>
      <protection locked="0"/>
    </xf>
    <xf numFmtId="49" fontId="0" fillId="12" borderId="6" xfId="45" applyNumberFormat="1" applyFont="1" applyFill="1" applyBorder="1" applyAlignment="1" applyProtection="1">
      <alignment horizontal="center" vertical="center" wrapText="1"/>
      <protection locked="0"/>
    </xf>
    <xf numFmtId="49" fontId="0" fillId="12" borderId="10" xfId="45" applyNumberFormat="1" applyFont="1" applyFill="1" applyBorder="1" applyAlignment="1" applyProtection="1">
      <alignment horizontal="center" vertical="center" wrapText="1"/>
      <protection locked="0"/>
    </xf>
    <xf numFmtId="0" fontId="0" fillId="8" borderId="6" xfId="46" applyNumberFormat="1" applyFont="1" applyFill="1" applyBorder="1" applyAlignment="1" applyProtection="1">
      <alignment horizontal="center" vertical="center" wrapText="1"/>
    </xf>
    <xf numFmtId="49" fontId="43" fillId="0" borderId="0" xfId="0" applyFont="1" applyAlignment="1">
      <alignment horizontal="center" vertical="center" wrapText="1"/>
    </xf>
    <xf numFmtId="49" fontId="0" fillId="0" borderId="0" xfId="0" applyAlignment="1">
      <alignment vertical="top"/>
    </xf>
    <xf numFmtId="49" fontId="43" fillId="0" borderId="14" xfId="47" applyNumberFormat="1" applyFont="1" applyFill="1" applyBorder="1" applyAlignment="1" applyProtection="1">
      <alignment horizontal="center" vertical="center" wrapText="1"/>
    </xf>
    <xf numFmtId="0" fontId="7" fillId="0" borderId="0" xfId="42" applyFont="1" applyAlignment="1" applyProtection="1"/>
    <xf numFmtId="0" fontId="43" fillId="7" borderId="0" xfId="42" applyFont="1" applyFill="1" applyBorder="1" applyAlignment="1" applyProtection="1">
      <alignment horizontal="center" vertical="center" wrapText="1"/>
    </xf>
    <xf numFmtId="49" fontId="16" fillId="0" borderId="0" xfId="38" applyFont="1" applyFill="1" applyBorder="1" applyAlignment="1" applyProtection="1">
      <alignment horizontal="left" wrapText="1"/>
    </xf>
    <xf numFmtId="0" fontId="20" fillId="0" borderId="0" xfId="20" applyFont="1" applyFill="1" applyBorder="1" applyAlignment="1" applyProtection="1">
      <alignment horizontal="left" vertical="top" wrapText="1"/>
    </xf>
    <xf numFmtId="0" fontId="44" fillId="7" borderId="0" xfId="38" applyNumberFormat="1" applyFont="1" applyFill="1" applyBorder="1" applyAlignment="1">
      <alignment horizontal="center" vertical="center" wrapText="1"/>
    </xf>
    <xf numFmtId="49" fontId="0" fillId="0" borderId="0" xfId="0" applyBorder="1" applyAlignment="1">
      <alignment horizontal="left" vertical="center" indent="1"/>
    </xf>
    <xf numFmtId="49" fontId="42" fillId="0" borderId="0" xfId="30" applyNumberFormat="1" applyFont="1" applyFill="1" applyBorder="1" applyAlignment="1" applyProtection="1">
      <alignment horizontal="left" vertical="center" wrapText="1" indent="1"/>
    </xf>
    <xf numFmtId="0" fontId="41" fillId="7" borderId="0" xfId="38" applyNumberFormat="1" applyFont="1" applyFill="1" applyBorder="1" applyAlignment="1">
      <alignment horizontal="left" vertical="center" wrapText="1"/>
    </xf>
    <xf numFmtId="49" fontId="0" fillId="0" borderId="0" xfId="0" applyFill="1" applyBorder="1" applyAlignment="1" applyProtection="1">
      <alignment horizontal="right" vertical="center" indent="1"/>
    </xf>
    <xf numFmtId="49" fontId="51" fillId="0" borderId="0" xfId="28" applyNumberFormat="1" applyFill="1" applyBorder="1" applyAlignment="1" applyProtection="1">
      <alignment horizontal="left" vertical="center" wrapText="1" indent="1"/>
    </xf>
    <xf numFmtId="49" fontId="16" fillId="0" borderId="0" xfId="38" applyFont="1" applyFill="1" applyBorder="1" applyAlignment="1" applyProtection="1">
      <alignment horizontal="justify" vertical="justify" wrapText="1"/>
    </xf>
    <xf numFmtId="0" fontId="21" fillId="0" borderId="0" xfId="38" applyNumberFormat="1" applyFont="1" applyFill="1" applyAlignment="1" applyProtection="1">
      <alignment horizontal="left" vertical="center" wrapText="1"/>
    </xf>
    <xf numFmtId="0" fontId="20" fillId="0" borderId="0" xfId="38" applyNumberFormat="1" applyFont="1" applyFill="1" applyAlignment="1" applyProtection="1">
      <alignment horizontal="left" vertical="center"/>
    </xf>
    <xf numFmtId="0" fontId="20" fillId="10" borderId="35" xfId="26" applyNumberFormat="1" applyFont="1" applyFill="1" applyBorder="1" applyAlignment="1">
      <alignment horizontal="center" vertical="center" wrapText="1"/>
    </xf>
    <xf numFmtId="0" fontId="20" fillId="10" borderId="36" xfId="26" applyNumberFormat="1" applyFont="1" applyFill="1" applyBorder="1" applyAlignment="1">
      <alignment horizontal="center" vertical="center" wrapText="1"/>
    </xf>
    <xf numFmtId="0" fontId="20" fillId="10" borderId="37" xfId="26" applyNumberFormat="1" applyFont="1" applyFill="1" applyBorder="1" applyAlignment="1">
      <alignment horizontal="center" vertical="center" wrapText="1"/>
    </xf>
    <xf numFmtId="0" fontId="16" fillId="0" borderId="0" xfId="38" applyNumberFormat="1" applyFont="1" applyFill="1" applyBorder="1" applyAlignment="1" applyProtection="1">
      <alignment horizontal="justify" vertical="top" wrapText="1"/>
    </xf>
    <xf numFmtId="49" fontId="20" fillId="0" borderId="0" xfId="0" applyFont="1" applyFill="1" applyBorder="1" applyAlignment="1" applyProtection="1">
      <alignment horizontal="left" vertical="top" wrapText="1" indent="2"/>
    </xf>
    <xf numFmtId="49" fontId="16" fillId="7" borderId="14" xfId="38" applyFont="1" applyFill="1" applyBorder="1" applyAlignment="1">
      <alignment horizontal="left" vertical="center" wrapText="1"/>
    </xf>
    <xf numFmtId="49" fontId="16" fillId="7" borderId="0" xfId="38" applyFont="1" applyFill="1" applyBorder="1" applyAlignment="1">
      <alignment horizontal="left" vertical="center" wrapText="1"/>
    </xf>
    <xf numFmtId="0" fontId="16" fillId="0" borderId="0" xfId="38" applyNumberFormat="1" applyFont="1" applyFill="1" applyBorder="1" applyAlignment="1" applyProtection="1">
      <alignment horizontal="justify" vertical="center" wrapText="1"/>
    </xf>
    <xf numFmtId="49" fontId="51" fillId="0" borderId="0" xfId="28" applyNumberFormat="1" applyBorder="1" applyProtection="1">
      <alignment vertical="top"/>
    </xf>
    <xf numFmtId="0" fontId="20" fillId="0" borderId="0" xfId="20" applyFont="1" applyFill="1" applyBorder="1" applyAlignment="1" applyProtection="1">
      <alignment horizontal="center" vertical="top" wrapText="1"/>
    </xf>
    <xf numFmtId="49" fontId="51" fillId="0" borderId="0" xfId="28" applyNumberFormat="1" applyFill="1" applyBorder="1" applyAlignment="1" applyProtection="1">
      <alignment horizontal="left" vertical="top" wrapText="1"/>
    </xf>
    <xf numFmtId="49" fontId="20" fillId="0" borderId="0" xfId="16" applyNumberFormat="1" applyFont="1" applyFill="1" applyBorder="1" applyAlignment="1" applyProtection="1">
      <alignment horizontal="left" vertical="center" wrapText="1" indent="1"/>
    </xf>
    <xf numFmtId="49" fontId="20" fillId="0" borderId="0" xfId="16" applyNumberFormat="1" applyFill="1" applyBorder="1" applyAlignment="1" applyProtection="1">
      <alignment horizontal="left" vertical="center" wrapText="1" indent="1"/>
    </xf>
    <xf numFmtId="0" fontId="51" fillId="7" borderId="0" xfId="28" applyNumberFormat="1" applyFill="1" applyBorder="1" applyAlignment="1" applyProtection="1">
      <alignment horizontal="center" vertical="center" wrapText="1"/>
    </xf>
    <xf numFmtId="0" fontId="51" fillId="0" borderId="0" xfId="28" applyAlignment="1" applyProtection="1">
      <alignment horizontal="left" vertical="center"/>
    </xf>
    <xf numFmtId="0" fontId="51" fillId="7" borderId="0" xfId="28" applyNumberFormat="1" applyFill="1" applyBorder="1" applyAlignment="1" applyProtection="1">
      <alignment horizontal="left" vertical="center" wrapText="1"/>
    </xf>
    <xf numFmtId="49" fontId="16" fillId="7" borderId="14" xfId="38" applyFont="1" applyFill="1" applyBorder="1" applyAlignment="1">
      <alignment vertical="center" wrapText="1"/>
    </xf>
    <xf numFmtId="49" fontId="16" fillId="7" borderId="0" xfId="38" applyFont="1" applyFill="1" applyBorder="1" applyAlignment="1">
      <alignment vertical="center" wrapText="1"/>
    </xf>
    <xf numFmtId="49" fontId="0" fillId="0" borderId="0" xfId="0" applyFill="1" applyBorder="1" applyAlignment="1" applyProtection="1">
      <alignment horizontal="right" vertical="top" indent="1"/>
    </xf>
    <xf numFmtId="0" fontId="20" fillId="0" borderId="0" xfId="20" applyFont="1" applyFill="1" applyBorder="1" applyAlignment="1" applyProtection="1">
      <alignment horizontal="left" vertical="center" wrapText="1"/>
    </xf>
    <xf numFmtId="49" fontId="13" fillId="0" borderId="0" xfId="30" applyNumberFormat="1" applyFill="1" applyBorder="1" applyAlignment="1" applyProtection="1">
      <alignment horizontal="left" vertical="center" wrapText="1" indent="1"/>
    </xf>
    <xf numFmtId="49" fontId="16" fillId="0" borderId="0" xfId="0" applyFont="1" applyFill="1" applyBorder="1" applyAlignment="1" applyProtection="1">
      <alignment horizontal="left" vertical="center" wrapText="1"/>
    </xf>
    <xf numFmtId="49" fontId="0" fillId="0" borderId="0" xfId="0" applyBorder="1">
      <alignment vertical="top"/>
    </xf>
    <xf numFmtId="49" fontId="0" fillId="0" borderId="0" xfId="0" applyBorder="1" applyAlignment="1">
      <alignment vertical="center"/>
    </xf>
    <xf numFmtId="0" fontId="21" fillId="0" borderId="7" xfId="49" applyFont="1" applyFill="1" applyBorder="1" applyAlignment="1">
      <alignment horizontal="center" vertical="center" wrapText="1"/>
    </xf>
    <xf numFmtId="49" fontId="7" fillId="0" borderId="28" xfId="47" applyNumberFormat="1" applyFont="1" applyFill="1" applyBorder="1" applyAlignment="1" applyProtection="1">
      <alignment horizontal="center" vertical="center" wrapText="1"/>
    </xf>
    <xf numFmtId="49" fontId="7" fillId="0" borderId="21" xfId="47" applyNumberFormat="1" applyFont="1" applyFill="1" applyBorder="1" applyAlignment="1" applyProtection="1">
      <alignment horizontal="center" vertical="center" wrapText="1"/>
    </xf>
    <xf numFmtId="49" fontId="7" fillId="0" borderId="33" xfId="47" applyNumberFormat="1" applyFont="1" applyFill="1" applyBorder="1" applyAlignment="1" applyProtection="1">
      <alignment horizontal="center" vertical="center" wrapText="1"/>
    </xf>
    <xf numFmtId="49" fontId="55" fillId="0" borderId="0" xfId="47" applyNumberFormat="1" applyFont="1" applyFill="1" applyAlignment="1" applyProtection="1">
      <alignment horizontal="center" vertical="center" wrapText="1"/>
    </xf>
    <xf numFmtId="49" fontId="33" fillId="15" borderId="34" xfId="0" applyFont="1" applyFill="1" applyBorder="1" applyAlignment="1" applyProtection="1">
      <alignment horizontal="left" vertical="center" indent="1"/>
    </xf>
    <xf numFmtId="49" fontId="7" fillId="7" borderId="30" xfId="47" applyNumberFormat="1" applyFont="1" applyFill="1" applyBorder="1" applyAlignment="1" applyProtection="1">
      <alignment horizontal="center" vertical="center" wrapText="1"/>
    </xf>
    <xf numFmtId="49" fontId="7" fillId="7" borderId="14" xfId="47" applyNumberFormat="1" applyFont="1" applyFill="1" applyBorder="1" applyAlignment="1" applyProtection="1">
      <alignment horizontal="center" vertical="center" wrapText="1"/>
    </xf>
    <xf numFmtId="49" fontId="7" fillId="7" borderId="38" xfId="47" applyNumberFormat="1" applyFont="1" applyFill="1" applyBorder="1" applyAlignment="1" applyProtection="1">
      <alignment horizontal="center" vertical="center" wrapText="1"/>
    </xf>
    <xf numFmtId="0" fontId="7" fillId="12" borderId="30" xfId="47" applyNumberFormat="1" applyFont="1" applyFill="1" applyBorder="1" applyAlignment="1" applyProtection="1">
      <alignment horizontal="left" vertical="center" wrapText="1"/>
      <protection locked="0"/>
    </xf>
    <xf numFmtId="0" fontId="7" fillId="12" borderId="14" xfId="47" applyNumberFormat="1" applyFont="1" applyFill="1" applyBorder="1" applyAlignment="1" applyProtection="1">
      <alignment horizontal="left" vertical="center" wrapText="1"/>
      <protection locked="0"/>
    </xf>
    <xf numFmtId="0" fontId="7" fillId="12" borderId="38" xfId="47" applyNumberFormat="1" applyFont="1" applyFill="1" applyBorder="1" applyAlignment="1" applyProtection="1">
      <alignment horizontal="left" vertical="center" wrapText="1"/>
      <protection locked="0"/>
    </xf>
    <xf numFmtId="49" fontId="7" fillId="0" borderId="30" xfId="47" applyNumberFormat="1" applyFont="1" applyFill="1" applyBorder="1" applyAlignment="1" applyProtection="1">
      <alignment horizontal="left" vertical="center" wrapText="1"/>
    </xf>
    <xf numFmtId="49" fontId="7" fillId="0" borderId="14" xfId="47" applyNumberFormat="1" applyFont="1" applyFill="1" applyBorder="1" applyAlignment="1" applyProtection="1">
      <alignment horizontal="left" vertical="center" wrapText="1"/>
    </xf>
    <xf numFmtId="49" fontId="7" fillId="0" borderId="38" xfId="47" applyNumberFormat="1" applyFont="1" applyFill="1" applyBorder="1" applyAlignment="1" applyProtection="1">
      <alignment horizontal="left" vertical="center" wrapText="1"/>
    </xf>
    <xf numFmtId="49" fontId="0" fillId="12" borderId="30" xfId="47" applyNumberFormat="1" applyFont="1" applyFill="1" applyBorder="1" applyAlignment="1" applyProtection="1">
      <alignment vertical="center" wrapText="1"/>
      <protection locked="0"/>
    </xf>
    <xf numFmtId="49" fontId="7" fillId="12" borderId="14" xfId="47" applyNumberFormat="1" applyFont="1" applyFill="1" applyBorder="1" applyAlignment="1" applyProtection="1">
      <alignment vertical="center" wrapText="1"/>
      <protection locked="0"/>
    </xf>
    <xf numFmtId="49" fontId="7" fillId="12" borderId="19" xfId="47" applyNumberFormat="1" applyFont="1" applyFill="1" applyBorder="1" applyAlignment="1" applyProtection="1">
      <alignment vertical="center" wrapText="1"/>
      <protection locked="0"/>
    </xf>
    <xf numFmtId="49" fontId="0" fillId="14" borderId="48" xfId="46" applyNumberFormat="1" applyFont="1" applyFill="1" applyBorder="1" applyAlignment="1" applyProtection="1">
      <alignment horizontal="center" vertical="center" wrapText="1"/>
    </xf>
    <xf numFmtId="49" fontId="0" fillId="14" borderId="21" xfId="46" applyNumberFormat="1" applyFont="1" applyFill="1" applyBorder="1" applyAlignment="1" applyProtection="1">
      <alignment horizontal="center" vertical="center" wrapText="1"/>
    </xf>
    <xf numFmtId="49" fontId="0" fillId="14" borderId="49" xfId="46" applyNumberFormat="1" applyFont="1" applyFill="1" applyBorder="1" applyAlignment="1" applyProtection="1">
      <alignment horizontal="center" vertical="center" wrapText="1"/>
    </xf>
    <xf numFmtId="49" fontId="0" fillId="0" borderId="48" xfId="46" applyNumberFormat="1" applyFont="1" applyFill="1" applyBorder="1" applyAlignment="1" applyProtection="1">
      <alignment horizontal="center" vertical="center" wrapText="1"/>
    </xf>
    <xf numFmtId="49" fontId="0" fillId="0" borderId="21" xfId="46" applyNumberFormat="1" applyFont="1" applyFill="1" applyBorder="1" applyAlignment="1" applyProtection="1">
      <alignment horizontal="center" vertical="center" wrapText="1"/>
    </xf>
    <xf numFmtId="49" fontId="0" fillId="0" borderId="49" xfId="46" applyNumberFormat="1" applyFont="1" applyFill="1" applyBorder="1" applyAlignment="1" applyProtection="1">
      <alignment horizontal="center" vertical="center" wrapText="1"/>
    </xf>
    <xf numFmtId="3" fontId="7" fillId="12" borderId="30" xfId="47" applyNumberFormat="1" applyFont="1" applyFill="1" applyBorder="1" applyAlignment="1" applyProtection="1">
      <alignment horizontal="center" vertical="center" wrapText="1"/>
      <protection locked="0"/>
    </xf>
    <xf numFmtId="3" fontId="7" fillId="12" borderId="14" xfId="47" applyNumberFormat="1" applyFont="1" applyFill="1" applyBorder="1" applyAlignment="1" applyProtection="1">
      <alignment horizontal="center" vertical="center" wrapText="1"/>
      <protection locked="0"/>
    </xf>
    <xf numFmtId="3" fontId="7" fillId="12" borderId="38" xfId="47" applyNumberFormat="1" applyFont="1" applyFill="1" applyBorder="1" applyAlignment="1" applyProtection="1">
      <alignment horizontal="center" vertical="center" wrapText="1"/>
      <protection locked="0"/>
    </xf>
    <xf numFmtId="49" fontId="0" fillId="12" borderId="30" xfId="47" applyNumberFormat="1" applyFont="1" applyFill="1" applyBorder="1" applyAlignment="1" applyProtection="1">
      <alignment horizontal="center" vertical="center" wrapText="1"/>
      <protection locked="0"/>
    </xf>
    <xf numFmtId="49" fontId="7" fillId="12" borderId="14" xfId="47" applyNumberFormat="1" applyFont="1" applyFill="1" applyBorder="1" applyAlignment="1" applyProtection="1">
      <alignment horizontal="center" vertical="center" wrapText="1"/>
      <protection locked="0"/>
    </xf>
    <xf numFmtId="49" fontId="7" fillId="12" borderId="38" xfId="47" applyNumberFormat="1" applyFont="1" applyFill="1" applyBorder="1" applyAlignment="1" applyProtection="1">
      <alignment horizontal="center" vertical="center" wrapText="1"/>
      <protection locked="0"/>
    </xf>
    <xf numFmtId="4" fontId="7" fillId="12" borderId="30" xfId="47" applyNumberFormat="1" applyFont="1" applyFill="1" applyBorder="1" applyAlignment="1" applyProtection="1">
      <alignment horizontal="right" vertical="center" wrapText="1"/>
      <protection locked="0"/>
    </xf>
    <xf numFmtId="4" fontId="7" fillId="12" borderId="14" xfId="47" applyNumberFormat="1" applyFont="1" applyFill="1" applyBorder="1" applyAlignment="1" applyProtection="1">
      <alignment horizontal="right" vertical="center" wrapText="1"/>
      <protection locked="0"/>
    </xf>
    <xf numFmtId="4" fontId="7" fillId="12" borderId="38" xfId="47" applyNumberFormat="1" applyFont="1" applyFill="1" applyBorder="1" applyAlignment="1" applyProtection="1">
      <alignment horizontal="right" vertical="center" wrapText="1"/>
      <protection locked="0"/>
    </xf>
    <xf numFmtId="4" fontId="7" fillId="0" borderId="28" xfId="47" applyNumberFormat="1" applyFont="1" applyFill="1" applyBorder="1" applyAlignment="1" applyProtection="1">
      <alignment horizontal="center" vertical="top" wrapText="1"/>
    </xf>
    <xf numFmtId="4" fontId="7" fillId="0" borderId="21" xfId="47" applyNumberFormat="1" applyFont="1" applyFill="1" applyBorder="1" applyAlignment="1" applyProtection="1">
      <alignment horizontal="center" vertical="top" wrapText="1"/>
    </xf>
    <xf numFmtId="4" fontId="7" fillId="0" borderId="33" xfId="47" applyNumberFormat="1" applyFont="1" applyFill="1" applyBorder="1" applyAlignment="1" applyProtection="1">
      <alignment horizontal="center" vertical="top" wrapText="1"/>
    </xf>
    <xf numFmtId="3" fontId="7" fillId="0" borderId="28" xfId="47" applyNumberFormat="1" applyFont="1" applyFill="1" applyBorder="1" applyAlignment="1" applyProtection="1">
      <alignment horizontal="center" vertical="center" wrapText="1"/>
    </xf>
    <xf numFmtId="3" fontId="7" fillId="0" borderId="21" xfId="47" applyNumberFormat="1" applyFont="1" applyFill="1" applyBorder="1" applyAlignment="1" applyProtection="1">
      <alignment horizontal="center" vertical="center" wrapText="1"/>
    </xf>
    <xf numFmtId="3" fontId="7" fillId="0" borderId="33" xfId="47" applyNumberFormat="1" applyFont="1" applyFill="1" applyBorder="1" applyAlignment="1" applyProtection="1">
      <alignment horizontal="center" vertical="center" wrapText="1"/>
    </xf>
    <xf numFmtId="49" fontId="0" fillId="12" borderId="28" xfId="47" applyNumberFormat="1" applyFont="1" applyFill="1" applyBorder="1" applyAlignment="1" applyProtection="1">
      <alignment horizontal="center" vertical="center" wrapText="1"/>
      <protection locked="0"/>
    </xf>
    <xf numFmtId="49" fontId="0" fillId="12" borderId="21" xfId="47" applyNumberFormat="1" applyFont="1" applyFill="1" applyBorder="1" applyAlignment="1" applyProtection="1">
      <alignment horizontal="center" vertical="center" wrapText="1"/>
      <protection locked="0"/>
    </xf>
    <xf numFmtId="49" fontId="0" fillId="12" borderId="33" xfId="47" applyNumberFormat="1" applyFont="1" applyFill="1" applyBorder="1" applyAlignment="1" applyProtection="1">
      <alignment horizontal="center" vertical="center" wrapText="1"/>
      <protection locked="0"/>
    </xf>
    <xf numFmtId="0" fontId="0" fillId="7" borderId="28" xfId="46" applyNumberFormat="1" applyFont="1" applyFill="1" applyBorder="1" applyAlignment="1" applyProtection="1">
      <alignment horizontal="center" vertical="center" wrapText="1"/>
    </xf>
    <xf numFmtId="0" fontId="0" fillId="14" borderId="21" xfId="46" applyNumberFormat="1" applyFont="1" applyFill="1" applyBorder="1" applyAlignment="1" applyProtection="1">
      <alignment horizontal="center" vertical="center" wrapText="1"/>
    </xf>
    <xf numFmtId="0" fontId="0" fillId="14" borderId="33" xfId="46" applyNumberFormat="1" applyFont="1" applyFill="1" applyBorder="1" applyAlignment="1" applyProtection="1">
      <alignment horizontal="center" vertical="center" wrapText="1"/>
    </xf>
    <xf numFmtId="49" fontId="7" fillId="12" borderId="30" xfId="47" applyNumberFormat="1" applyFont="1" applyFill="1" applyBorder="1" applyAlignment="1" applyProtection="1">
      <alignment horizontal="left" vertical="center" wrapText="1"/>
      <protection locked="0"/>
    </xf>
    <xf numFmtId="49" fontId="7" fillId="12" borderId="14" xfId="47" applyNumberFormat="1" applyFont="1" applyFill="1" applyBorder="1" applyAlignment="1" applyProtection="1">
      <alignment horizontal="left" vertical="center" wrapText="1"/>
      <protection locked="0"/>
    </xf>
    <xf numFmtId="49" fontId="7" fillId="12" borderId="38" xfId="47" applyNumberFormat="1" applyFont="1" applyFill="1" applyBorder="1" applyAlignment="1" applyProtection="1">
      <alignment horizontal="left" vertical="center" wrapText="1"/>
      <protection locked="0"/>
    </xf>
    <xf numFmtId="0" fontId="7" fillId="0" borderId="6" xfId="32" applyFont="1" applyFill="1" applyBorder="1" applyAlignment="1" applyProtection="1">
      <alignment horizontal="center" vertical="center" wrapText="1"/>
    </xf>
    <xf numFmtId="0" fontId="7" fillId="0" borderId="14" xfId="32" applyFont="1" applyFill="1" applyBorder="1" applyAlignment="1" applyProtection="1">
      <alignment horizontal="center" vertical="center" wrapText="1"/>
    </xf>
    <xf numFmtId="0" fontId="7" fillId="7" borderId="6" xfId="47" applyFont="1" applyFill="1" applyBorder="1" applyAlignment="1" applyProtection="1">
      <alignment horizontal="center" vertical="center" wrapText="1"/>
    </xf>
    <xf numFmtId="0" fontId="7" fillId="7" borderId="14" xfId="47" applyFont="1" applyFill="1" applyBorder="1" applyAlignment="1" applyProtection="1">
      <alignment horizontal="center" vertical="center" wrapText="1"/>
    </xf>
    <xf numFmtId="0" fontId="0" fillId="0" borderId="6" xfId="32" applyFont="1" applyFill="1" applyBorder="1" applyAlignment="1" applyProtection="1">
      <alignment horizontal="center" vertical="center" wrapText="1"/>
    </xf>
    <xf numFmtId="0" fontId="0" fillId="0" borderId="14" xfId="32" applyFont="1" applyFill="1" applyBorder="1" applyAlignment="1" applyProtection="1">
      <alignment horizontal="center" vertical="center" wrapText="1"/>
    </xf>
    <xf numFmtId="0" fontId="0" fillId="0" borderId="7" xfId="32" applyFont="1" applyFill="1" applyBorder="1" applyAlignment="1" applyProtection="1">
      <alignment horizontal="center" vertical="center" wrapText="1"/>
    </xf>
    <xf numFmtId="0" fontId="0" fillId="7" borderId="6" xfId="47" applyFont="1" applyFill="1" applyBorder="1" applyAlignment="1" applyProtection="1">
      <alignment horizontal="center" vertical="center" wrapText="1"/>
    </xf>
    <xf numFmtId="0" fontId="0" fillId="7" borderId="7" xfId="47" applyFont="1" applyFill="1" applyBorder="1" applyAlignment="1" applyProtection="1">
      <alignment horizontal="center" vertical="center" wrapText="1"/>
    </xf>
    <xf numFmtId="0" fontId="0" fillId="7" borderId="14" xfId="47" applyFont="1" applyFill="1" applyBorder="1" applyAlignment="1" applyProtection="1">
      <alignment horizontal="center" vertical="center" wrapText="1"/>
    </xf>
    <xf numFmtId="0" fontId="0" fillId="7" borderId="0" xfId="47" applyFont="1" applyFill="1" applyBorder="1" applyAlignment="1" applyProtection="1">
      <alignment horizontal="center" vertical="center" wrapText="1"/>
    </xf>
    <xf numFmtId="0" fontId="0" fillId="14" borderId="28" xfId="46" applyNumberFormat="1" applyFont="1" applyFill="1" applyBorder="1" applyAlignment="1" applyProtection="1">
      <alignment horizontal="center" vertical="center" wrapText="1"/>
    </xf>
    <xf numFmtId="0" fontId="9" fillId="0" borderId="7" xfId="47" applyFont="1" applyFill="1" applyBorder="1" applyAlignment="1" applyProtection="1">
      <alignment vertical="center" wrapText="1"/>
    </xf>
    <xf numFmtId="0" fontId="0" fillId="0" borderId="0" xfId="47" applyFont="1" applyFill="1" applyBorder="1" applyAlignment="1" applyProtection="1">
      <alignment horizontal="right" vertical="center"/>
    </xf>
    <xf numFmtId="0" fontId="7" fillId="7" borderId="0" xfId="47" applyFont="1" applyFill="1" applyBorder="1" applyAlignment="1" applyProtection="1">
      <alignment horizontal="center" vertical="center" wrapText="1"/>
    </xf>
    <xf numFmtId="0" fontId="21" fillId="0" borderId="18" xfId="48" applyFont="1" applyBorder="1" applyAlignment="1">
      <alignment horizontal="center" vertical="center"/>
    </xf>
    <xf numFmtId="0" fontId="0" fillId="0" borderId="28" xfId="32" applyFont="1" applyFill="1" applyBorder="1" applyAlignment="1" applyProtection="1">
      <alignment horizontal="center" vertical="center" wrapText="1"/>
    </xf>
    <xf numFmtId="0" fontId="0" fillId="0" borderId="33" xfId="32" applyFont="1" applyFill="1" applyBorder="1" applyAlignment="1" applyProtection="1">
      <alignment horizontal="center" vertical="center" wrapText="1"/>
    </xf>
    <xf numFmtId="0" fontId="7" fillId="7" borderId="20" xfId="47" applyFont="1" applyFill="1" applyBorder="1" applyAlignment="1" applyProtection="1">
      <alignment horizontal="center" vertical="center" wrapText="1"/>
    </xf>
    <xf numFmtId="0" fontId="7" fillId="0" borderId="28" xfId="32" applyFont="1" applyFill="1" applyBorder="1" applyAlignment="1" applyProtection="1">
      <alignment horizontal="center" vertical="center" wrapText="1"/>
    </xf>
    <xf numFmtId="0" fontId="7" fillId="0" borderId="33" xfId="32" applyFont="1" applyFill="1" applyBorder="1" applyAlignment="1" applyProtection="1">
      <alignment horizontal="center" vertical="center" wrapText="1"/>
    </xf>
    <xf numFmtId="0" fontId="0" fillId="0" borderId="29" xfId="32" applyFont="1" applyFill="1" applyBorder="1" applyAlignment="1" applyProtection="1">
      <alignment horizontal="center" vertical="center" wrapText="1"/>
    </xf>
    <xf numFmtId="0" fontId="7" fillId="0" borderId="29" xfId="32" applyFont="1" applyFill="1" applyBorder="1" applyAlignment="1" applyProtection="1">
      <alignment horizontal="center" vertical="center" wrapText="1"/>
    </xf>
    <xf numFmtId="0" fontId="0" fillId="0" borderId="18" xfId="32" applyFont="1" applyFill="1" applyBorder="1" applyAlignment="1" applyProtection="1">
      <alignment horizontal="center" vertical="center" wrapText="1"/>
    </xf>
    <xf numFmtId="0" fontId="0" fillId="0" borderId="25" xfId="32" applyFont="1" applyFill="1" applyBorder="1" applyAlignment="1" applyProtection="1">
      <alignment horizontal="center" vertical="center" wrapText="1"/>
    </xf>
    <xf numFmtId="0" fontId="0" fillId="0" borderId="17" xfId="32" applyFont="1" applyFill="1" applyBorder="1" applyAlignment="1" applyProtection="1">
      <alignment horizontal="center" vertical="center" wrapText="1"/>
    </xf>
    <xf numFmtId="0" fontId="7" fillId="7" borderId="29" xfId="47" applyFont="1" applyFill="1" applyBorder="1" applyAlignment="1" applyProtection="1">
      <alignment horizontal="center" vertical="center" wrapText="1"/>
    </xf>
    <xf numFmtId="0" fontId="7" fillId="0" borderId="10" xfId="32" applyFont="1" applyFill="1" applyBorder="1" applyAlignment="1" applyProtection="1">
      <alignment horizontal="center" vertical="center" wrapText="1"/>
    </xf>
    <xf numFmtId="0" fontId="0" fillId="0" borderId="10" xfId="32" applyFont="1" applyFill="1" applyBorder="1" applyAlignment="1" applyProtection="1">
      <alignment horizontal="center" vertical="center" wrapText="1"/>
    </xf>
    <xf numFmtId="49" fontId="7" fillId="7" borderId="30" xfId="47" applyNumberFormat="1" applyFont="1" applyFill="1" applyBorder="1" applyAlignment="1" applyProtection="1">
      <alignment horizontal="left" vertical="center" wrapText="1"/>
    </xf>
    <xf numFmtId="49" fontId="7" fillId="7" borderId="14" xfId="47" applyNumberFormat="1" applyFont="1" applyFill="1" applyBorder="1" applyAlignment="1" applyProtection="1">
      <alignment horizontal="left" vertical="center" wrapText="1"/>
    </xf>
    <xf numFmtId="49" fontId="7" fillId="7" borderId="38" xfId="47" applyNumberFormat="1" applyFont="1" applyFill="1" applyBorder="1" applyAlignment="1" applyProtection="1">
      <alignment horizontal="left" vertical="center" wrapText="1"/>
    </xf>
    <xf numFmtId="49" fontId="7" fillId="12" borderId="30" xfId="47" applyNumberFormat="1" applyFont="1" applyFill="1" applyBorder="1" applyAlignment="1" applyProtection="1">
      <alignment vertical="center" wrapText="1"/>
      <protection locked="0"/>
    </xf>
    <xf numFmtId="4" fontId="43" fillId="0" borderId="21" xfId="47" applyNumberFormat="1" applyFont="1" applyFill="1" applyBorder="1" applyAlignment="1" applyProtection="1">
      <alignment horizontal="center" vertical="top" wrapText="1"/>
    </xf>
    <xf numFmtId="49" fontId="7" fillId="12" borderId="30" xfId="47" applyNumberFormat="1" applyFont="1" applyFill="1" applyBorder="1" applyAlignment="1" applyProtection="1">
      <alignment horizontal="center" vertical="center" wrapText="1"/>
      <protection locked="0"/>
    </xf>
    <xf numFmtId="49" fontId="0" fillId="0" borderId="28" xfId="47" applyNumberFormat="1" applyFont="1" applyFill="1" applyBorder="1" applyAlignment="1" applyProtection="1">
      <alignment horizontal="center" vertical="center" wrapText="1"/>
    </xf>
    <xf numFmtId="49" fontId="0" fillId="0" borderId="21" xfId="47" applyNumberFormat="1" applyFont="1" applyFill="1" applyBorder="1" applyAlignment="1" applyProtection="1">
      <alignment horizontal="center" vertical="center" wrapText="1"/>
    </xf>
    <xf numFmtId="49" fontId="0" fillId="0" borderId="33" xfId="47" applyNumberFormat="1" applyFont="1" applyFill="1" applyBorder="1" applyAlignment="1" applyProtection="1">
      <alignment horizontal="center" vertical="center" wrapText="1"/>
    </xf>
    <xf numFmtId="49" fontId="0" fillId="7" borderId="48" xfId="46" applyNumberFormat="1" applyFont="1" applyFill="1" applyBorder="1" applyAlignment="1" applyProtection="1">
      <alignment horizontal="center" vertical="center" wrapText="1"/>
    </xf>
    <xf numFmtId="0" fontId="7" fillId="7" borderId="30" xfId="47" applyNumberFormat="1" applyFont="1" applyFill="1" applyBorder="1" applyAlignment="1" applyProtection="1">
      <alignment horizontal="left" vertical="center" wrapText="1"/>
    </xf>
    <xf numFmtId="0" fontId="7" fillId="12" borderId="14" xfId="47" applyNumberFormat="1" applyFont="1" applyFill="1" applyBorder="1" applyAlignment="1" applyProtection="1">
      <alignment horizontal="left" vertical="center" wrapText="1"/>
    </xf>
    <xf numFmtId="0" fontId="7" fillId="12" borderId="38" xfId="47" applyNumberFormat="1" applyFont="1" applyFill="1" applyBorder="1" applyAlignment="1" applyProtection="1">
      <alignment horizontal="left" vertical="center" wrapText="1"/>
    </xf>
    <xf numFmtId="49" fontId="7" fillId="7" borderId="30" xfId="47" applyNumberFormat="1" applyFont="1" applyFill="1" applyBorder="1" applyAlignment="1" applyProtection="1">
      <alignment vertical="center" wrapText="1"/>
    </xf>
    <xf numFmtId="49" fontId="7" fillId="12" borderId="14" xfId="47" applyNumberFormat="1" applyFont="1" applyFill="1" applyBorder="1" applyAlignment="1" applyProtection="1">
      <alignment vertical="center" wrapText="1"/>
    </xf>
    <xf numFmtId="49" fontId="7" fillId="12" borderId="19" xfId="47" applyNumberFormat="1" applyFont="1" applyFill="1" applyBorder="1" applyAlignment="1" applyProtection="1">
      <alignment vertical="center" wrapText="1"/>
    </xf>
    <xf numFmtId="49" fontId="0" fillId="7" borderId="28" xfId="47" applyNumberFormat="1" applyFont="1" applyFill="1" applyBorder="1" applyAlignment="1" applyProtection="1">
      <alignment horizontal="center" vertical="center" wrapText="1"/>
    </xf>
    <xf numFmtId="49" fontId="0" fillId="12" borderId="21" xfId="47" applyNumberFormat="1" applyFont="1" applyFill="1" applyBorder="1" applyAlignment="1" applyProtection="1">
      <alignment horizontal="center" vertical="center" wrapText="1"/>
    </xf>
    <xf numFmtId="49" fontId="0" fillId="12" borderId="33" xfId="47" applyNumberFormat="1" applyFont="1" applyFill="1" applyBorder="1" applyAlignment="1" applyProtection="1">
      <alignment horizontal="center" vertical="center" wrapText="1"/>
    </xf>
  </cellXfs>
  <cellStyles count="10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8" builtinId="30" hidden="1"/>
    <cellStyle name="20% — акцент2" xfId="72" builtinId="34" hidden="1"/>
    <cellStyle name="20% — акцент3" xfId="76" builtinId="38" hidden="1"/>
    <cellStyle name="20% — акцент4" xfId="80" builtinId="42" hidden="1"/>
    <cellStyle name="20% — акцент5" xfId="84" builtinId="46" hidden="1"/>
    <cellStyle name="20% — акцент6" xfId="88" builtinId="50" hidden="1"/>
    <cellStyle name="40% — акцент1" xfId="69" builtinId="31" hidden="1"/>
    <cellStyle name="40% — акцент2" xfId="73" builtinId="35" hidden="1"/>
    <cellStyle name="40% — акцент3" xfId="77" builtinId="39" hidden="1"/>
    <cellStyle name="40% — акцент4" xfId="81" builtinId="43" hidden="1"/>
    <cellStyle name="40% — акцент5" xfId="85" builtinId="47" hidden="1"/>
    <cellStyle name="40% — акцент6" xfId="89" builtinId="51" hidden="1"/>
    <cellStyle name="60% — акцент1" xfId="70" builtinId="32" hidden="1"/>
    <cellStyle name="60% — акцент2" xfId="74" builtinId="36" hidden="1"/>
    <cellStyle name="60% — акцент3" xfId="78" builtinId="40" hidden="1"/>
    <cellStyle name="60% — акцент4" xfId="82" builtinId="44" hidden="1"/>
    <cellStyle name="60% — акцент5" xfId="86" builtinId="48" hidden="1"/>
    <cellStyle name="60% — акцент6" xfId="90" builtinId="52" hidden="1"/>
    <cellStyle name="Cells 2" xfId="16"/>
    <cellStyle name="Currency [0]" xfId="17"/>
    <cellStyle name="currency1" xfId="92"/>
    <cellStyle name="Currency2" xfId="18"/>
    <cellStyle name="currency3" xfId="93"/>
    <cellStyle name="currency4" xfId="94"/>
    <cellStyle name="Followed Hyperlink" xfId="19"/>
    <cellStyle name="Header 3" xfId="20"/>
    <cellStyle name="Hyperlink" xfId="21"/>
    <cellStyle name="normal" xfId="22"/>
    <cellStyle name="Normal1" xfId="23"/>
    <cellStyle name="Normal2" xfId="24"/>
    <cellStyle name="Percent1" xfId="25"/>
    <cellStyle name="Title 4" xfId="26"/>
    <cellStyle name="Акцент1" xfId="67" builtinId="29" hidden="1"/>
    <cellStyle name="Акцент2" xfId="71" builtinId="33" hidden="1"/>
    <cellStyle name="Акцент3" xfId="75" builtinId="37" hidden="1"/>
    <cellStyle name="Акцент4" xfId="79" builtinId="41" hidden="1"/>
    <cellStyle name="Акцент5" xfId="83" builtinId="45" hidden="1"/>
    <cellStyle name="Акцент6" xfId="87" builtinId="49" hidden="1"/>
    <cellStyle name="Ввод " xfId="27" builtinId="20" customBuiltin="1"/>
    <cellStyle name="Вывод" xfId="59" builtinId="21" hidden="1"/>
    <cellStyle name="Вычисление" xfId="60" builtinId="22" hidden="1"/>
    <cellStyle name="Гиперссылка" xfId="28" builtinId="8"/>
    <cellStyle name="Гиперссылка 2 2" xfId="29"/>
    <cellStyle name="Гиперссылка 4" xfId="30"/>
    <cellStyle name="Денежный" xfId="97" builtinId="4" hidden="1"/>
    <cellStyle name="Денежный [0]" xfId="98" builtinId="7" hidden="1"/>
    <cellStyle name="Заголовок" xfId="31"/>
    <cellStyle name="Заголовок 1" xfId="52" builtinId="16" hidden="1"/>
    <cellStyle name="Заголовок 2" xfId="53" builtinId="17" hidden="1"/>
    <cellStyle name="Заголовок 3" xfId="54" builtinId="18" hidden="1"/>
    <cellStyle name="Заголовок 4" xfId="55" builtinId="19" hidden="1"/>
    <cellStyle name="ЗаголовокСтолбца" xfId="32"/>
    <cellStyle name="Значение" xfId="33"/>
    <cellStyle name="Итог" xfId="66" builtinId="25" hidden="1"/>
    <cellStyle name="Контрольная ячейка" xfId="62" builtinId="23" hidden="1"/>
    <cellStyle name="Название" xfId="51" builtinId="15" hidden="1"/>
    <cellStyle name="Нейтральный" xfId="58" builtinId="28" hidden="1"/>
    <cellStyle name="Обычный" xfId="0" builtinId="0"/>
    <cellStyle name="Обычный 10" xfId="34"/>
    <cellStyle name="Обычный 11" xfId="35"/>
    <cellStyle name="Обычный 2" xfId="36"/>
    <cellStyle name="Обычный 3 2" xfId="37"/>
    <cellStyle name="Обычный 3 3" xfId="38"/>
    <cellStyle name="Обычный_46EE(v6.1.1)" xfId="39"/>
    <cellStyle name="Обычный_INVEST.WARM.PLAN.4.78(v0.1)" xfId="40"/>
    <cellStyle name="Обычный_KRU.TARIFF.FACT-0.3" xfId="41"/>
    <cellStyle name="Обычный_MINENERGO.340.PRIL79(v0.1)" xfId="42"/>
    <cellStyle name="Обычный_PASSPORT.TEPLO.PROIZV.2016(v1.0)" xfId="91"/>
    <cellStyle name="Обычный_PREDEL.JKH.2010(v1.3)" xfId="43"/>
    <cellStyle name="Обычный_razrabotka_sablonov_po_WKU" xfId="44"/>
    <cellStyle name="Обычный_SIMPLE_1_massive2" xfId="45"/>
    <cellStyle name="Обычный_ЖКУ_проект3" xfId="46"/>
    <cellStyle name="Обычный_Мониторинг инвестиций" xfId="47"/>
    <cellStyle name="Обычный_Новая проверка голубых" xfId="100"/>
    <cellStyle name="Обычный_Шаблон по источникам для Модуля Реестр (2)" xfId="48"/>
    <cellStyle name="Обычный_Шаблон по источникам для Модуля Реестр (2) 2" xfId="49"/>
    <cellStyle name="Открывавшаяся гиперссылка" xfId="101" builtinId="9" hidden="1"/>
    <cellStyle name="Открывавшаяся гиперссылка" xfId="102" builtinId="9" hidden="1"/>
    <cellStyle name="Плохой" xfId="57" builtinId="27" hidden="1"/>
    <cellStyle name="Пояснение" xfId="65" builtinId="53" hidden="1"/>
    <cellStyle name="Примечание" xfId="64" builtinId="10" hidden="1"/>
    <cellStyle name="Процентный" xfId="99" builtinId="5" hidden="1"/>
    <cellStyle name="Связанная ячейка" xfId="61" builtinId="24" hidden="1"/>
    <cellStyle name="Текст предупреждения" xfId="63" builtinId="11" hidden="1"/>
    <cellStyle name="Финансовый" xfId="95" builtinId="3" hidden="1"/>
    <cellStyle name="Финансовый [0]" xfId="96" builtinId="6" hidden="1"/>
    <cellStyle name="ФормулаВБ_Мониторинг инвестиций" xfId="50"/>
    <cellStyle name="Хороший" xfId="56"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B7E4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5" Type="http://schemas.openxmlformats.org/officeDocument/2006/relationships/image" Target="../media/image1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3.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480059</xdr:rowOff>
    </xdr:from>
    <xdr:to>
      <xdr:col>3</xdr:col>
      <xdr:colOff>0</xdr:colOff>
      <xdr:row>115</xdr:row>
      <xdr:rowOff>634</xdr:rowOff>
    </xdr:to>
    <xdr:sp macro="[0]!Instruction.BlockClick" textlink="">
      <xdr:nvSpPr>
        <xdr:cNvPr id="2" name="InstrBlock_8">
          <a:extLst>
            <a:ext uri="{FF2B5EF4-FFF2-40B4-BE49-F238E27FC236}">
              <a16:creationId xmlns:a16="http://schemas.microsoft.com/office/drawing/2014/main" id="{00000000-0008-0000-0000-000002000000}"/>
            </a:ext>
          </a:extLst>
        </xdr:cNvPr>
        <xdr:cNvSpPr txBox="1">
          <a:spLocks noChangeArrowheads="1"/>
        </xdr:cNvSpPr>
      </xdr:nvSpPr>
      <xdr:spPr bwMode="auto">
        <a:xfrm>
          <a:off x="219075" y="42995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18</xdr:row>
      <xdr:rowOff>16509</xdr:rowOff>
    </xdr:from>
    <xdr:to>
      <xdr:col>3</xdr:col>
      <xdr:colOff>0</xdr:colOff>
      <xdr:row>18</xdr:row>
      <xdr:rowOff>480059</xdr:rowOff>
    </xdr:to>
    <xdr:sp macro="[0]!Instruction.BlockClick" textlink="">
      <xdr:nvSpPr>
        <xdr:cNvPr id="3" name="InstrBlock_7">
          <a:extLst>
            <a:ext uri="{FF2B5EF4-FFF2-40B4-BE49-F238E27FC236}">
              <a16:creationId xmlns:a16="http://schemas.microsoft.com/office/drawing/2014/main" id="{00000000-0008-0000-0000-000003000000}"/>
            </a:ext>
          </a:extLst>
        </xdr:cNvPr>
        <xdr:cNvSpPr txBox="1">
          <a:spLocks noChangeArrowheads="1"/>
        </xdr:cNvSpPr>
      </xdr:nvSpPr>
      <xdr:spPr bwMode="auto">
        <a:xfrm>
          <a:off x="219075" y="38360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124459</xdr:rowOff>
    </xdr:from>
    <xdr:to>
      <xdr:col>3</xdr:col>
      <xdr:colOff>0</xdr:colOff>
      <xdr:row>18</xdr:row>
      <xdr:rowOff>16509</xdr:rowOff>
    </xdr:to>
    <xdr:sp macro="[0]!Instruction.BlockClick" textlink="">
      <xdr:nvSpPr>
        <xdr:cNvPr id="4" name="InstrBlock_6">
          <a:extLst>
            <a:ext uri="{FF2B5EF4-FFF2-40B4-BE49-F238E27FC236}">
              <a16:creationId xmlns:a16="http://schemas.microsoft.com/office/drawing/2014/main" id="{00000000-0008-0000-0000-000004000000}"/>
            </a:ext>
          </a:extLst>
        </xdr:cNvPr>
        <xdr:cNvSpPr txBox="1">
          <a:spLocks noChangeArrowheads="1"/>
        </xdr:cNvSpPr>
      </xdr:nvSpPr>
      <xdr:spPr bwMode="auto">
        <a:xfrm>
          <a:off x="219075" y="33724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41909</xdr:rowOff>
    </xdr:from>
    <xdr:to>
      <xdr:col>3</xdr:col>
      <xdr:colOff>0</xdr:colOff>
      <xdr:row>15</xdr:row>
      <xdr:rowOff>124459</xdr:rowOff>
    </xdr:to>
    <xdr:sp macro="[0]!Instruction.BlockClick" textlink="">
      <xdr:nvSpPr>
        <xdr:cNvPr id="5" name="InstrBlock_5">
          <a:extLst>
            <a:ext uri="{FF2B5EF4-FFF2-40B4-BE49-F238E27FC236}">
              <a16:creationId xmlns:a16="http://schemas.microsoft.com/office/drawing/2014/main" id="{00000000-0008-0000-0000-000005000000}"/>
            </a:ext>
          </a:extLst>
        </xdr:cNvPr>
        <xdr:cNvSpPr txBox="1">
          <a:spLocks noChangeArrowheads="1"/>
        </xdr:cNvSpPr>
      </xdr:nvSpPr>
      <xdr:spPr bwMode="auto">
        <a:xfrm>
          <a:off x="219075" y="2908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64134</xdr:rowOff>
    </xdr:from>
    <xdr:to>
      <xdr:col>3</xdr:col>
      <xdr:colOff>0</xdr:colOff>
      <xdr:row>13</xdr:row>
      <xdr:rowOff>41909</xdr:rowOff>
    </xdr:to>
    <xdr:sp macro="[0]!Instruction.BlockClick" textlink="">
      <xdr:nvSpPr>
        <xdr:cNvPr id="6" name="InstrBlock_4">
          <a:extLst>
            <a:ext uri="{FF2B5EF4-FFF2-40B4-BE49-F238E27FC236}">
              <a16:creationId xmlns:a16="http://schemas.microsoft.com/office/drawing/2014/main" id="{00000000-0008-0000-0000-000006000000}"/>
            </a:ext>
          </a:extLst>
        </xdr:cNvPr>
        <xdr:cNvSpPr txBox="1">
          <a:spLocks noChangeArrowheads="1"/>
        </xdr:cNvSpPr>
      </xdr:nvSpPr>
      <xdr:spPr bwMode="auto">
        <a:xfrm>
          <a:off x="219075" y="2445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95884</xdr:rowOff>
    </xdr:from>
    <xdr:to>
      <xdr:col>3</xdr:col>
      <xdr:colOff>0</xdr:colOff>
      <xdr:row>12</xdr:row>
      <xdr:rowOff>64134</xdr:rowOff>
    </xdr:to>
    <xdr:sp macro="[0]!Instruction.BlockClick" textlink="">
      <xdr:nvSpPr>
        <xdr:cNvPr id="7" name="InstrBlock_3">
          <a:extLst>
            <a:ext uri="{FF2B5EF4-FFF2-40B4-BE49-F238E27FC236}">
              <a16:creationId xmlns:a16="http://schemas.microsoft.com/office/drawing/2014/main" id="{00000000-0008-0000-0000-000007000000}"/>
            </a:ext>
          </a:extLst>
        </xdr:cNvPr>
        <xdr:cNvSpPr txBox="1">
          <a:spLocks noChangeArrowheads="1"/>
        </xdr:cNvSpPr>
      </xdr:nvSpPr>
      <xdr:spPr bwMode="auto">
        <a:xfrm>
          <a:off x="219075" y="1981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146684</xdr:rowOff>
    </xdr:from>
    <xdr:to>
      <xdr:col>3</xdr:col>
      <xdr:colOff>0</xdr:colOff>
      <xdr:row>10</xdr:row>
      <xdr:rowOff>95884</xdr:rowOff>
    </xdr:to>
    <xdr:sp macro="[0]!Instruction.BlockClick" textlink="">
      <xdr:nvSpPr>
        <xdr:cNvPr id="8" name="InstrBlock_2">
          <a:extLst>
            <a:ext uri="{FF2B5EF4-FFF2-40B4-BE49-F238E27FC236}">
              <a16:creationId xmlns:a16="http://schemas.microsoft.com/office/drawing/2014/main" id="{00000000-0008-0000-0000-000008000000}"/>
            </a:ext>
          </a:extLst>
        </xdr:cNvPr>
        <xdr:cNvSpPr txBox="1">
          <a:spLocks noChangeArrowheads="1"/>
        </xdr:cNvSpPr>
      </xdr:nvSpPr>
      <xdr:spPr bwMode="auto">
        <a:xfrm>
          <a:off x="219075" y="1518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23</xdr:col>
      <xdr:colOff>247650</xdr:colOff>
      <xdr:row>69</xdr:row>
      <xdr:rowOff>66675</xdr:rowOff>
    </xdr:from>
    <xdr:to>
      <xdr:col>24</xdr:col>
      <xdr:colOff>152400</xdr:colOff>
      <xdr:row>69</xdr:row>
      <xdr:rowOff>247650</xdr:rowOff>
    </xdr:to>
    <xdr:pic>
      <xdr:nvPicPr>
        <xdr:cNvPr id="230335" name="PAGE_LAST_INACTIVE" descr="tick_circle_3887.png" hidden="1">
          <a:extLst>
            <a:ext uri="{FF2B5EF4-FFF2-40B4-BE49-F238E27FC236}">
              <a16:creationId xmlns:a16="http://schemas.microsoft.com/office/drawing/2014/main" id="{00000000-0008-0000-0000-0000BF83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45720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266700</xdr:colOff>
      <xdr:row>69</xdr:row>
      <xdr:rowOff>28575</xdr:rowOff>
    </xdr:from>
    <xdr:to>
      <xdr:col>23</xdr:col>
      <xdr:colOff>238125</xdr:colOff>
      <xdr:row>69</xdr:row>
      <xdr:rowOff>295275</xdr:rowOff>
    </xdr:to>
    <xdr:pic>
      <xdr:nvPicPr>
        <xdr:cNvPr id="230338" name="PAGE_NEXT_INACTIVE" descr="tick_circle_3887.png" hidden="1">
          <a:extLst>
            <a:ext uri="{FF2B5EF4-FFF2-40B4-BE49-F238E27FC236}">
              <a16:creationId xmlns:a16="http://schemas.microsoft.com/office/drawing/2014/main" id="{00000000-0008-0000-0000-0000C283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2925" y="457200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47624</xdr:colOff>
      <xdr:row>105</xdr:row>
      <xdr:rowOff>114299</xdr:rowOff>
    </xdr:from>
    <xdr:to>
      <xdr:col>9</xdr:col>
      <xdr:colOff>181724</xdr:colOff>
      <xdr:row>107</xdr:row>
      <xdr:rowOff>165299</xdr:rowOff>
    </xdr:to>
    <xdr:sp macro="[0]!Instruction.cmdGetUpdate_Click" textlink="">
      <xdr:nvSpPr>
        <xdr:cNvPr id="13" name="cmdGetUpdate">
          <a:extLst>
            <a:ext uri="{FF2B5EF4-FFF2-40B4-BE49-F238E27FC236}">
              <a16:creationId xmlns:a16="http://schemas.microsoft.com/office/drawing/2014/main" id="{00000000-0008-0000-0000-00000D000000}"/>
            </a:ext>
          </a:extLst>
        </xdr:cNvPr>
        <xdr:cNvSpPr txBox="1">
          <a:spLocks noChangeArrowheads="1"/>
        </xdr:cNvSpPr>
      </xdr:nvSpPr>
      <xdr:spPr bwMode="auto">
        <a:xfrm>
          <a:off x="2619374" y="45720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9</xdr:col>
      <xdr:colOff>257175</xdr:colOff>
      <xdr:row>105</xdr:row>
      <xdr:rowOff>114300</xdr:rowOff>
    </xdr:from>
    <xdr:to>
      <xdr:col>15</xdr:col>
      <xdr:colOff>105525</xdr:colOff>
      <xdr:row>107</xdr:row>
      <xdr:rowOff>165300</xdr:rowOff>
    </xdr:to>
    <xdr:sp macro="[0]!Instruction.cmdShowHideUpdateLog_Click" textlink="">
      <xdr:nvSpPr>
        <xdr:cNvPr id="14" name="cmdShowHideUpdateLog">
          <a:extLst>
            <a:ext uri="{FF2B5EF4-FFF2-40B4-BE49-F238E27FC236}">
              <a16:creationId xmlns:a16="http://schemas.microsoft.com/office/drawing/2014/main" id="{00000000-0008-0000-0000-00000E000000}"/>
            </a:ext>
          </a:extLst>
        </xdr:cNvPr>
        <xdr:cNvSpPr txBox="1">
          <a:spLocks noChangeArrowheads="1"/>
        </xdr:cNvSpPr>
      </xdr:nvSpPr>
      <xdr:spPr bwMode="auto">
        <a:xfrm>
          <a:off x="4314825" y="4572000"/>
          <a:ext cx="1620000"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editAs="absolute">
    <xdr:from>
      <xdr:col>1</xdr:col>
      <xdr:colOff>0</xdr:colOff>
      <xdr:row>4</xdr:row>
      <xdr:rowOff>407034</xdr:rowOff>
    </xdr:from>
    <xdr:to>
      <xdr:col>3</xdr:col>
      <xdr:colOff>0</xdr:colOff>
      <xdr:row>7</xdr:row>
      <xdr:rowOff>146684</xdr:rowOff>
    </xdr:to>
    <xdr:sp macro="[0]!Instruction.BlockClick" textlink="">
      <xdr:nvSpPr>
        <xdr:cNvPr id="18" name="InstrBlock_1">
          <a:extLst>
            <a:ext uri="{FF2B5EF4-FFF2-40B4-BE49-F238E27FC236}">
              <a16:creationId xmlns:a16="http://schemas.microsoft.com/office/drawing/2014/main" id="{00000000-0008-0000-0000-000012000000}"/>
            </a:ext>
          </a:extLst>
        </xdr:cNvPr>
        <xdr:cNvSpPr txBox="1">
          <a:spLocks noChangeArrowheads="1"/>
        </xdr:cNvSpPr>
      </xdr:nvSpPr>
      <xdr:spPr bwMode="auto">
        <a:xfrm>
          <a:off x="219075" y="105473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230342" name="InstrImg_1" descr="icon1">
          <a:extLst>
            <a:ext uri="{FF2B5EF4-FFF2-40B4-BE49-F238E27FC236}">
              <a16:creationId xmlns:a16="http://schemas.microsoft.com/office/drawing/2014/main" id="{00000000-0008-0000-0000-0000C68303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11144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230343" name="InstrImg_2" descr="icon2">
          <a:extLst>
            <a:ext uri="{FF2B5EF4-FFF2-40B4-BE49-F238E27FC236}">
              <a16:creationId xmlns:a16="http://schemas.microsoft.com/office/drawing/2014/main" id="{00000000-0008-0000-0000-0000C7830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230344" name="InstrImg_3" descr="icon3">
          <a:extLst>
            <a:ext uri="{FF2B5EF4-FFF2-40B4-BE49-F238E27FC236}">
              <a16:creationId xmlns:a16="http://schemas.microsoft.com/office/drawing/2014/main" id="{00000000-0008-0000-0000-0000C88303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20193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230345" name="InstrImg_4" descr="icon4">
          <a:extLst>
            <a:ext uri="{FF2B5EF4-FFF2-40B4-BE49-F238E27FC236}">
              <a16:creationId xmlns:a16="http://schemas.microsoft.com/office/drawing/2014/main" id="{00000000-0008-0000-0000-0000C9830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66700" y="24955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230346" name="InstrImg_5" descr="icon5">
          <a:extLst>
            <a:ext uri="{FF2B5EF4-FFF2-40B4-BE49-F238E27FC236}">
              <a16:creationId xmlns:a16="http://schemas.microsoft.com/office/drawing/2014/main" id="{00000000-0008-0000-0000-0000CA8303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700" y="29622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230347" name="InstrImg_6" descr="icon6">
          <a:extLst>
            <a:ext uri="{FF2B5EF4-FFF2-40B4-BE49-F238E27FC236}">
              <a16:creationId xmlns:a16="http://schemas.microsoft.com/office/drawing/2014/main" id="{00000000-0008-0000-0000-0000CB8303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85750" y="34385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230348" name="InstrImg_7" descr="icon7">
          <a:extLst>
            <a:ext uri="{FF2B5EF4-FFF2-40B4-BE49-F238E27FC236}">
              <a16:creationId xmlns:a16="http://schemas.microsoft.com/office/drawing/2014/main" id="{00000000-0008-0000-0000-0000CC8303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95275" y="39147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514350</xdr:rowOff>
    </xdr:from>
    <xdr:to>
      <xdr:col>1</xdr:col>
      <xdr:colOff>447675</xdr:colOff>
      <xdr:row>115</xdr:row>
      <xdr:rowOff>19050</xdr:rowOff>
    </xdr:to>
    <xdr:pic macro="[0]!Instruction.BlockClick">
      <xdr:nvPicPr>
        <xdr:cNvPr id="230349" name="InstrImg_8" descr="icon8.png">
          <a:extLst>
            <a:ext uri="{FF2B5EF4-FFF2-40B4-BE49-F238E27FC236}">
              <a16:creationId xmlns:a16="http://schemas.microsoft.com/office/drawing/2014/main" id="{00000000-0008-0000-0000-0000CD8303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30350" name="chkGetUpdatesTrue" descr="check_yes.jpg">
          <a:extLst>
            <a:ext uri="{FF2B5EF4-FFF2-40B4-BE49-F238E27FC236}">
              <a16:creationId xmlns:a16="http://schemas.microsoft.com/office/drawing/2014/main" id="{00000000-0008-0000-0000-0000CE8303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230351" name="chkNoUpdatesFalse" descr="check_no.png">
          <a:extLst>
            <a:ext uri="{FF2B5EF4-FFF2-40B4-BE49-F238E27FC236}">
              <a16:creationId xmlns:a16="http://schemas.microsoft.com/office/drawing/2014/main" id="{00000000-0008-0000-0000-0000CF8303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230352" name="chkNoUpdatesTrue" descr="check_yes.jpg" hidden="1">
          <a:extLst>
            <a:ext uri="{FF2B5EF4-FFF2-40B4-BE49-F238E27FC236}">
              <a16:creationId xmlns:a16="http://schemas.microsoft.com/office/drawing/2014/main" id="{00000000-0008-0000-0000-0000D08303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30353" name="chkGetUpdatesFalse" descr="check_no.png" hidden="1">
          <a:extLst>
            <a:ext uri="{FF2B5EF4-FFF2-40B4-BE49-F238E27FC236}">
              <a16:creationId xmlns:a16="http://schemas.microsoft.com/office/drawing/2014/main" id="{00000000-0008-0000-0000-0000D18303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105</xdr:row>
      <xdr:rowOff>104775</xdr:rowOff>
    </xdr:from>
    <xdr:to>
      <xdr:col>5</xdr:col>
      <xdr:colOff>180975</xdr:colOff>
      <xdr:row>107</xdr:row>
      <xdr:rowOff>142875</xdr:rowOff>
    </xdr:to>
    <xdr:pic macro="[0]!Instruction.cmdGetUpdate_Click">
      <xdr:nvPicPr>
        <xdr:cNvPr id="230354" name="cmdGetUpdateImg" descr="icon11.png">
          <a:extLst>
            <a:ext uri="{FF2B5EF4-FFF2-40B4-BE49-F238E27FC236}">
              <a16:creationId xmlns:a16="http://schemas.microsoft.com/office/drawing/2014/main" id="{00000000-0008-0000-0000-0000D28303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105</xdr:row>
      <xdr:rowOff>104775</xdr:rowOff>
    </xdr:from>
    <xdr:to>
      <xdr:col>11</xdr:col>
      <xdr:colOff>104775</xdr:colOff>
      <xdr:row>107</xdr:row>
      <xdr:rowOff>142875</xdr:rowOff>
    </xdr:to>
    <xdr:pic macro="[0]!Instruction.cmdShowHideUpdateLog_Click">
      <xdr:nvPicPr>
        <xdr:cNvPr id="230355" name="cmdShowHideUpdateLogImg" descr="icon13.png">
          <a:extLst>
            <a:ext uri="{FF2B5EF4-FFF2-40B4-BE49-F238E27FC236}">
              <a16:creationId xmlns:a16="http://schemas.microsoft.com/office/drawing/2014/main" id="{00000000-0008-0000-0000-0000D38303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381000</xdr:colOff>
      <xdr:row>2</xdr:row>
      <xdr:rowOff>9525</xdr:rowOff>
    </xdr:from>
    <xdr:to>
      <xdr:col>2</xdr:col>
      <xdr:colOff>1466850</xdr:colOff>
      <xdr:row>2</xdr:row>
      <xdr:rowOff>228600</xdr:rowOff>
    </xdr:to>
    <xdr:sp macro="" textlink="">
      <xdr:nvSpPr>
        <xdr:cNvPr id="205588" name="cmdAct_1">
          <a:extLst>
            <a:ext uri="{FF2B5EF4-FFF2-40B4-BE49-F238E27FC236}">
              <a16:creationId xmlns:a16="http://schemas.microsoft.com/office/drawing/2014/main" id="{00000000-0008-0000-0000-000014230300}"/>
            </a:ext>
          </a:extLst>
        </xdr:cNvPr>
        <xdr:cNvSpPr txBox="1">
          <a:spLocks noChangeArrowheads="1"/>
        </xdr:cNvSpPr>
      </xdr:nvSpPr>
      <xdr:spPr bwMode="auto">
        <a:xfrm>
          <a:off x="1181100" y="352425"/>
          <a:ext cx="1085850" cy="219075"/>
        </a:xfrm>
        <a:prstGeom prst="rect">
          <a:avLst/>
        </a:prstGeom>
        <a:solidFill>
          <a:srgbClr val="B3FFD9"/>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230357" name="cmdAct_2" descr="icon15.png">
          <a:extLst>
            <a:ext uri="{FF2B5EF4-FFF2-40B4-BE49-F238E27FC236}">
              <a16:creationId xmlns:a16="http://schemas.microsoft.com/office/drawing/2014/main" id="{00000000-0008-0000-0000-0000D58303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7" name="cmdNoAct_1"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230359" name="cmdNoAct_2" descr="icon16.png" hidden="1">
          <a:extLst>
            <a:ext uri="{FF2B5EF4-FFF2-40B4-BE49-F238E27FC236}">
              <a16:creationId xmlns:a16="http://schemas.microsoft.com/office/drawing/2014/main" id="{00000000-0008-0000-0000-0000D78303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266700</xdr:colOff>
      <xdr:row>2</xdr:row>
      <xdr:rowOff>0</xdr:rowOff>
    </xdr:from>
    <xdr:to>
      <xdr:col>4</xdr:col>
      <xdr:colOff>190500</xdr:colOff>
      <xdr:row>2</xdr:row>
      <xdr:rowOff>219075</xdr:rowOff>
    </xdr:to>
    <xdr:sp macro="" textlink="">
      <xdr:nvSpPr>
        <xdr:cNvPr id="205592" name="cmdNoInet_1" hidden="1">
          <a:extLst>
            <a:ext uri="{FF2B5EF4-FFF2-40B4-BE49-F238E27FC236}">
              <a16:creationId xmlns:a16="http://schemas.microsoft.com/office/drawing/2014/main" id="{00000000-0008-0000-0000-000018230300}"/>
            </a:ext>
          </a:extLst>
        </xdr:cNvPr>
        <xdr:cNvSpPr txBox="1">
          <a:spLocks noChangeArrowheads="1"/>
        </xdr:cNvSpPr>
      </xdr:nvSpPr>
      <xdr:spPr bwMode="auto">
        <a:xfrm>
          <a:off x="1066800" y="342900"/>
          <a:ext cx="1695450" cy="219075"/>
        </a:xfrm>
        <a:prstGeom prst="rect">
          <a:avLst/>
        </a:prstGeom>
        <a:solidFill>
          <a:srgbClr val="FFCC66"/>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88000" tIns="36000" rIns="0" bIns="36000" anchor="ctr" upright="1"/>
        <a:lstStyle/>
        <a:p>
          <a:pPr algn="l" rtl="0">
            <a:defRPr sz="1000"/>
          </a:pPr>
          <a:r>
            <a:rPr lang="ru-RU" sz="1000" b="0" i="0" u="none" strike="noStrike" baseline="0">
              <a:solidFill>
                <a:srgbClr val="000000"/>
              </a:solidFill>
              <a:latin typeface="Tahoma"/>
              <a:ea typeface="Tahoma"/>
              <a:cs typeface="Tahoma"/>
            </a:rPr>
            <a:t>Ошибка подключения</a:t>
          </a:r>
        </a:p>
      </xdr:txBody>
    </xdr:sp>
    <xdr:clientData/>
  </xdr:twoCellAnchor>
  <xdr:twoCellAnchor editAs="oneCell">
    <xdr:from>
      <xdr:col>2</xdr:col>
      <xdr:colOff>247650</xdr:colOff>
      <xdr:row>1</xdr:row>
      <xdr:rowOff>133350</xdr:rowOff>
    </xdr:from>
    <xdr:to>
      <xdr:col>2</xdr:col>
      <xdr:colOff>495300</xdr:colOff>
      <xdr:row>4</xdr:row>
      <xdr:rowOff>0</xdr:rowOff>
    </xdr:to>
    <xdr:sp macro="" textlink="">
      <xdr:nvSpPr>
        <xdr:cNvPr id="205593" name="cmdNoInet_2" hidden="1">
          <a:extLst>
            <a:ext uri="{FF2B5EF4-FFF2-40B4-BE49-F238E27FC236}">
              <a16:creationId xmlns:a16="http://schemas.microsoft.com/office/drawing/2014/main" id="{00000000-0008-0000-0000-000019230300}"/>
            </a:ext>
          </a:extLst>
        </xdr:cNvPr>
        <xdr:cNvSpPr txBox="1">
          <a:spLocks noChangeArrowheads="1"/>
        </xdr:cNvSpPr>
      </xdr:nvSpPr>
      <xdr:spPr bwMode="auto">
        <a:xfrm>
          <a:off x="1047750" y="266700"/>
          <a:ext cx="2476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36576" rIns="0" bIns="0" anchor="t" upright="1"/>
        <a:lstStyle/>
        <a:p>
          <a:pPr algn="l" rtl="0">
            <a:defRPr sz="1000"/>
          </a:pPr>
          <a:r>
            <a:rPr lang="ru-RU" sz="1800" b="1" i="0" u="none" strike="noStrike" baseline="0">
              <a:solidFill>
                <a:srgbClr val="FFFFFF"/>
              </a:solidFill>
              <a:latin typeface="Calibri"/>
            </a:rPr>
            <a:t>!</a:t>
          </a:r>
        </a:p>
      </xdr:txBody>
    </xdr:sp>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230363" name="PAGE_FIRST" descr="tick_circle_3887.png" hidden="1">
          <a:extLst>
            <a:ext uri="{FF2B5EF4-FFF2-40B4-BE49-F238E27FC236}">
              <a16:creationId xmlns:a16="http://schemas.microsoft.com/office/drawing/2014/main" id="{00000000-0008-0000-0000-0000DB8303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105650" y="45720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230364" name="PAGE_BACK" descr="tick_circle_3887.png" hidden="1">
          <a:extLst>
            <a:ext uri="{FF2B5EF4-FFF2-40B4-BE49-F238E27FC236}">
              <a16:creationId xmlns:a16="http://schemas.microsoft.com/office/drawing/2014/main" id="{00000000-0008-0000-0000-0000DC8303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315200" y="4572000"/>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123825</xdr:colOff>
      <xdr:row>1</xdr:row>
      <xdr:rowOff>76200</xdr:rowOff>
    </xdr:from>
    <xdr:to>
      <xdr:col>24</xdr:col>
      <xdr:colOff>295274</xdr:colOff>
      <xdr:row>2</xdr:row>
      <xdr:rowOff>152400</xdr:rowOff>
    </xdr:to>
    <xdr:sp macro="[0]!modInstruction.cmdStart_Click_Handler" textlink="">
      <xdr:nvSpPr>
        <xdr:cNvPr id="51" name="cmdStart" hidden="1">
          <a:extLst>
            <a:ext uri="{FF2B5EF4-FFF2-40B4-BE49-F238E27FC236}">
              <a16:creationId xmlns:a16="http://schemas.microsoft.com/office/drawing/2014/main" id="{00000000-0008-0000-0000-000033000000}"/>
            </a:ext>
          </a:extLst>
        </xdr:cNvPr>
        <xdr:cNvSpPr>
          <a:spLocks noChangeArrowheads="1"/>
        </xdr:cNvSpPr>
      </xdr:nvSpPr>
      <xdr:spPr bwMode="auto">
        <a:xfrm>
          <a:off x="7134225" y="2095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twoCellAnchor>
    <xdr:from>
      <xdr:col>4</xdr:col>
      <xdr:colOff>104775</xdr:colOff>
      <xdr:row>101</xdr:row>
      <xdr:rowOff>47625</xdr:rowOff>
    </xdr:from>
    <xdr:to>
      <xdr:col>4</xdr:col>
      <xdr:colOff>257175</xdr:colOff>
      <xdr:row>102</xdr:row>
      <xdr:rowOff>9525</xdr:rowOff>
    </xdr:to>
    <xdr:pic>
      <xdr:nvPicPr>
        <xdr:cNvPr id="47" name="chkGetUpdatesTrue" descr="check_yes.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48" name="chkNoUpdatesFalse" descr="check_no.pn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103</xdr:row>
      <xdr:rowOff>57150</xdr:rowOff>
    </xdr:from>
    <xdr:to>
      <xdr:col>4</xdr:col>
      <xdr:colOff>257175</xdr:colOff>
      <xdr:row>104</xdr:row>
      <xdr:rowOff>19050</xdr:rowOff>
    </xdr:to>
    <xdr:pic>
      <xdr:nvPicPr>
        <xdr:cNvPr id="49" name="chkNoUpdatesTrue" descr="check_yes.jpg" hidden="1">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21336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101</xdr:row>
      <xdr:rowOff>47625</xdr:rowOff>
    </xdr:from>
    <xdr:to>
      <xdr:col>4</xdr:col>
      <xdr:colOff>257175</xdr:colOff>
      <xdr:row>102</xdr:row>
      <xdr:rowOff>9525</xdr:rowOff>
    </xdr:to>
    <xdr:pic>
      <xdr:nvPicPr>
        <xdr:cNvPr id="50" name="chkGetUpdatesFalse" descr="check_no.png" hidden="1">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76525" y="17430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31</xdr:col>
          <xdr:colOff>259080</xdr:colOff>
          <xdr:row>433</xdr:row>
          <xdr:rowOff>68580</xdr:rowOff>
        </xdr:from>
        <xdr:to>
          <xdr:col>41</xdr:col>
          <xdr:colOff>175260</xdr:colOff>
          <xdr:row>455</xdr:row>
          <xdr:rowOff>68580</xdr:rowOff>
        </xdr:to>
        <xdr:sp macro="" textlink="">
          <xdr:nvSpPr>
            <xdr:cNvPr id="167938" name="MANUAL_SECTION_2" hidden="1">
              <a:extLst>
                <a:ext uri="{63B3BB69-23CF-44E3-9099-C40C66FF867C}">
                  <a14:compatExt spid="_x0000_s167938"/>
                </a:ext>
                <a:ext uri="{FF2B5EF4-FFF2-40B4-BE49-F238E27FC236}">
                  <a16:creationId xmlns:a16="http://schemas.microsoft.com/office/drawing/2014/main" id="{00000000-0008-0000-0000-000002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57150</xdr:rowOff>
        </xdr:to>
        <xdr:sp macro="" textlink="">
          <xdr:nvSpPr>
            <xdr:cNvPr id="167939" name="MANUAL_SECTION_3" hidden="1">
              <a:extLst>
                <a:ext uri="{63B3BB69-23CF-44E3-9099-C40C66FF867C}">
                  <a14:compatExt spid="_x0000_s167939"/>
                </a:ext>
                <a:ext uri="{FF2B5EF4-FFF2-40B4-BE49-F238E27FC236}">
                  <a16:creationId xmlns:a16="http://schemas.microsoft.com/office/drawing/2014/main" id="{00000000-0008-0000-0000-000003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38100</xdr:rowOff>
        </xdr:to>
        <xdr:sp macro="" textlink="">
          <xdr:nvSpPr>
            <xdr:cNvPr id="167940" name="MANUAL_SECTION_4" hidden="1">
              <a:extLst>
                <a:ext uri="{63B3BB69-23CF-44E3-9099-C40C66FF867C}">
                  <a14:compatExt spid="_x0000_s167940"/>
                </a:ext>
                <a:ext uri="{FF2B5EF4-FFF2-40B4-BE49-F238E27FC236}">
                  <a16:creationId xmlns:a16="http://schemas.microsoft.com/office/drawing/2014/main" id="{00000000-0008-0000-0000-000004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257175</xdr:colOff>
          <xdr:row>433</xdr:row>
          <xdr:rowOff>66675</xdr:rowOff>
        </xdr:from>
        <xdr:to>
          <xdr:col>41</xdr:col>
          <xdr:colOff>161925</xdr:colOff>
          <xdr:row>454</xdr:row>
          <xdr:rowOff>66675</xdr:rowOff>
        </xdr:to>
        <xdr:sp macro="" textlink="">
          <xdr:nvSpPr>
            <xdr:cNvPr id="191831" name="MANUAL_SECTION_5" hidden="1">
              <a:extLst>
                <a:ext uri="{63B3BB69-23CF-44E3-9099-C40C66FF867C}">
                  <a14:compatExt spid="_x0000_s191831"/>
                </a:ext>
                <a:ext uri="{FF2B5EF4-FFF2-40B4-BE49-F238E27FC236}">
                  <a16:creationId xmlns:a16="http://schemas.microsoft.com/office/drawing/2014/main" id="{00000000-0008-0000-0000-000057ED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47625</xdr:colOff>
      <xdr:row>0</xdr:row>
      <xdr:rowOff>19050</xdr:rowOff>
    </xdr:from>
    <xdr:to>
      <xdr:col>5</xdr:col>
      <xdr:colOff>476249</xdr:colOff>
      <xdr:row>1</xdr:row>
      <xdr:rowOff>0</xdr:rowOff>
    </xdr:to>
    <xdr:sp macro="[0]!modUpdTemplLogger.Clear" textlink="">
      <xdr:nvSpPr>
        <xdr:cNvPr id="4" name="cmdClearLog">
          <a:extLst>
            <a:ext uri="{FF2B5EF4-FFF2-40B4-BE49-F238E27FC236}">
              <a16:creationId xmlns:a16="http://schemas.microsoft.com/office/drawing/2014/main" id="{00000000-0008-0000-0100-000004000000}"/>
            </a:ext>
          </a:extLst>
        </xdr:cNvPr>
        <xdr:cNvSpPr>
          <a:spLocks noChangeArrowheads="1"/>
        </xdr:cNvSpPr>
      </xdr:nvSpPr>
      <xdr:spPr bwMode="auto">
        <a:xfrm>
          <a:off x="9525000" y="190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r>
            <a:rPr lang="ru-RU" sz="1100" b="0" i="0" baseline="0">
              <a:effectLst/>
              <a:latin typeface="+mn-lt"/>
              <a:ea typeface="+mn-ea"/>
              <a:cs typeface="+mn-cs"/>
            </a:rPr>
            <a:t>Очистить лог</a:t>
          </a:r>
          <a:endParaRPr lang="ru-RU" sz="900">
            <a:effectLst/>
          </a:endParaRPr>
        </a:p>
      </xdr:txBody>
    </xdr:sp>
    <xdr:clientData/>
  </xdr:twoCellAnchor>
  <xdr:twoCellAnchor editAs="oneCell">
    <xdr:from>
      <xdr:col>0</xdr:col>
      <xdr:colOff>200025</xdr:colOff>
      <xdr:row>0</xdr:row>
      <xdr:rowOff>19050</xdr:rowOff>
    </xdr:from>
    <xdr:to>
      <xdr:col>0</xdr:col>
      <xdr:colOff>488025</xdr:colOff>
      <xdr:row>1</xdr:row>
      <xdr:rowOff>2250</xdr:rowOff>
    </xdr:to>
    <xdr:pic macro="[0]!Instruction.cmdGetUpdate_Click">
      <xdr:nvPicPr>
        <xdr:cNvPr id="5" name="cmdRefresh">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200025" y="19050"/>
          <a:ext cx="288000" cy="288000"/>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6</xdr:col>
      <xdr:colOff>114301</xdr:colOff>
      <xdr:row>4</xdr:row>
      <xdr:rowOff>38100</xdr:rowOff>
    </xdr:from>
    <xdr:to>
      <xdr:col>14</xdr:col>
      <xdr:colOff>600075</xdr:colOff>
      <xdr:row>4</xdr:row>
      <xdr:rowOff>323850</xdr:rowOff>
    </xdr:to>
    <xdr:sp macro="[0]!mod_00.cmdStart_Click_Handler" textlink="">
      <xdr:nvSpPr>
        <xdr:cNvPr id="2" name="cmdStart" hidden="1">
          <a:extLst>
            <a:ext uri="{FF2B5EF4-FFF2-40B4-BE49-F238E27FC236}">
              <a16:creationId xmlns:a16="http://schemas.microsoft.com/office/drawing/2014/main" id="{00000000-0008-0000-0200-000002000000}"/>
            </a:ext>
          </a:extLst>
        </xdr:cNvPr>
        <xdr:cNvSpPr>
          <a:spLocks noChangeArrowheads="1"/>
        </xdr:cNvSpPr>
      </xdr:nvSpPr>
      <xdr:spPr bwMode="auto">
        <a:xfrm>
          <a:off x="6457951" y="323850"/>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2</xdr:col>
      <xdr:colOff>314325</xdr:colOff>
      <xdr:row>4</xdr:row>
      <xdr:rowOff>152400</xdr:rowOff>
    </xdr:to>
    <xdr:pic macro="[0]!mod_00.FREEZE_PANES">
      <xdr:nvPicPr>
        <xdr:cNvPr id="2" name="FREEZE_PANES_C9" descr="update_org.png">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8</xdr:col>
      <xdr:colOff>457200</xdr:colOff>
      <xdr:row>3</xdr:row>
      <xdr:rowOff>66675</xdr:rowOff>
    </xdr:from>
    <xdr:to>
      <xdr:col>8</xdr:col>
      <xdr:colOff>2105024</xdr:colOff>
      <xdr:row>5</xdr:row>
      <xdr:rowOff>28575</xdr:rowOff>
    </xdr:to>
    <xdr:sp macro="[0]!mod_02.cmdStart_Click_Handler" textlink="">
      <xdr:nvSpPr>
        <xdr:cNvPr id="3" name="cmdStart" hidden="1">
          <a:extLst>
            <a:ext uri="{FF2B5EF4-FFF2-40B4-BE49-F238E27FC236}">
              <a16:creationId xmlns:a16="http://schemas.microsoft.com/office/drawing/2014/main" id="{00000000-0008-0000-0300-000003000000}"/>
            </a:ext>
          </a:extLst>
        </xdr:cNvPr>
        <xdr:cNvSpPr>
          <a:spLocks noChangeArrowheads="1"/>
        </xdr:cNvSpPr>
      </xdr:nvSpPr>
      <xdr:spPr bwMode="auto">
        <a:xfrm>
          <a:off x="11106150" y="66675"/>
          <a:ext cx="1647824" cy="285750"/>
        </a:xfrm>
        <a:prstGeom prst="roundRect">
          <a:avLst>
            <a:gd name="adj" fmla="val 0"/>
          </a:avLst>
        </a:prstGeom>
        <a:gradFill rotWithShape="1">
          <a:gsLst>
            <a:gs pos="0">
              <a:srgbClr val="FFFFFF"/>
            </a:gs>
            <a:gs pos="100000">
              <a:srgbClr val="C0C0C0"/>
            </a:gs>
          </a:gsLst>
          <a:lin ang="5400000" scaled="1"/>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Приступить к заполнению</a:t>
          </a:r>
        </a:p>
      </xdr:txBody>
    </xdr:sp>
    <xdr:clientData/>
  </xdr:twoCellAnchor>
  <xdr:twoCellAnchor editAs="absolute">
    <xdr:from>
      <xdr:col>7</xdr:col>
      <xdr:colOff>1990725</xdr:colOff>
      <xdr:row>3</xdr:row>
      <xdr:rowOff>66675</xdr:rowOff>
    </xdr:from>
    <xdr:to>
      <xdr:col>8</xdr:col>
      <xdr:colOff>409574</xdr:colOff>
      <xdr:row>5</xdr:row>
      <xdr:rowOff>28575</xdr:rowOff>
    </xdr:to>
    <xdr:sp macro="[0]!mod_02.cmdCheckData_Click_Handler" textlink="">
      <xdr:nvSpPr>
        <xdr:cNvPr id="4" name="cmdCheckData" hidden="1">
          <a:extLst>
            <a:ext uri="{FF2B5EF4-FFF2-40B4-BE49-F238E27FC236}">
              <a16:creationId xmlns:a16="http://schemas.microsoft.com/office/drawing/2014/main" id="{00000000-0008-0000-0300-000004000000}"/>
            </a:ext>
          </a:extLst>
        </xdr:cNvPr>
        <xdr:cNvSpPr>
          <a:spLocks noChangeArrowheads="1"/>
        </xdr:cNvSpPr>
      </xdr:nvSpPr>
      <xdr:spPr bwMode="auto">
        <a:xfrm>
          <a:off x="9410700" y="66675"/>
          <a:ext cx="1647824" cy="285750"/>
        </a:xfrm>
        <a:prstGeom prst="roundRect">
          <a:avLst>
            <a:gd name="adj" fmla="val 0"/>
          </a:avLst>
        </a:prstGeom>
        <a:gradFill rotWithShape="1">
          <a:gsLst>
            <a:gs pos="0">
              <a:schemeClr val="accent3">
                <a:lumMod val="20000"/>
                <a:lumOff val="80000"/>
              </a:schemeClr>
            </a:gs>
            <a:gs pos="20000">
              <a:schemeClr val="accent3">
                <a:lumMod val="20000"/>
                <a:lumOff val="80000"/>
              </a:schemeClr>
            </a:gs>
            <a:gs pos="100000">
              <a:schemeClr val="accent3">
                <a:lumMod val="60000"/>
                <a:lumOff val="40000"/>
              </a:schemeClr>
            </a:gs>
          </a:gsLst>
          <a:lin ang="5400000" scaled="0"/>
        </a:gradFill>
        <a:ln w="3175" algn="ctr">
          <a:solidFill>
            <a:srgbClr val="C0C0C0"/>
          </a:solidFill>
          <a:miter lim="800000"/>
          <a:headEnd/>
          <a:tailEnd/>
        </a:ln>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Проверить данные (Авто)</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xdr:colOff>
      <xdr:row>3</xdr:row>
      <xdr:rowOff>28575</xdr:rowOff>
    </xdr:from>
    <xdr:to>
      <xdr:col>3</xdr:col>
      <xdr:colOff>1905</xdr:colOff>
      <xdr:row>4</xdr:row>
      <xdr:rowOff>152400</xdr:rowOff>
    </xdr:to>
    <xdr:pic macro="[0]!mod_00.FREEZE_PANES">
      <xdr:nvPicPr>
        <xdr:cNvPr id="193880" name="FREEZE_PANES_C9" descr="update_org.png">
          <a:extLst>
            <a:ext uri="{FF2B5EF4-FFF2-40B4-BE49-F238E27FC236}">
              <a16:creationId xmlns:a16="http://schemas.microsoft.com/office/drawing/2014/main" id="{00000000-0008-0000-0400-000058F502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9525</xdr:colOff>
      <xdr:row>4</xdr:row>
      <xdr:rowOff>114300</xdr:rowOff>
    </xdr:from>
    <xdr:to>
      <xdr:col>42</xdr:col>
      <xdr:colOff>1171575</xdr:colOff>
      <xdr:row>6</xdr:row>
      <xdr:rowOff>28575</xdr:rowOff>
    </xdr:to>
    <xdr:sp macro="[0]!mod_01.cmdAtLengthCncsn_Click_Handler" textlink="">
      <xdr:nvSpPr>
        <xdr:cNvPr id="2" name="cmdAtLengthCncsn" hidden="1">
          <a:extLst>
            <a:ext uri="{FF2B5EF4-FFF2-40B4-BE49-F238E27FC236}">
              <a16:creationId xmlns:a16="http://schemas.microsoft.com/office/drawing/2014/main" id="{00000000-0008-0000-0400-000002000000}"/>
            </a:ext>
          </a:extLst>
        </xdr:cNvPr>
        <xdr:cNvSpPr/>
      </xdr:nvSpPr>
      <xdr:spPr>
        <a:xfrm>
          <a:off x="34404300" y="276225"/>
          <a:ext cx="117157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ru-RU" sz="900" b="1">
              <a:solidFill>
                <a:srgbClr val="0070C0"/>
              </a:solidFill>
              <a:latin typeface="Tahoma" panose="020B0604030504040204" pitchFamily="34" charset="0"/>
              <a:ea typeface="Tahoma" panose="020B0604030504040204" pitchFamily="34" charset="0"/>
              <a:cs typeface="Tahoma" panose="020B0604030504040204" pitchFamily="34" charset="0"/>
            </a:rPr>
            <a:t>- данные по КС</a:t>
          </a:r>
        </a:p>
      </xdr:txBody>
    </xdr:sp>
    <xdr:clientData fPrintsWithSheet="0"/>
  </xdr:twoCellAnchor>
  <xdr:twoCellAnchor editAs="oneCell">
    <xdr:from>
      <xdr:col>16</xdr:col>
      <xdr:colOff>9524</xdr:colOff>
      <xdr:row>4</xdr:row>
      <xdr:rowOff>114300</xdr:rowOff>
    </xdr:from>
    <xdr:to>
      <xdr:col>32</xdr:col>
      <xdr:colOff>653700</xdr:colOff>
      <xdr:row>6</xdr:row>
      <xdr:rowOff>28575</xdr:rowOff>
    </xdr:to>
    <xdr:sp macro="[0]!mod_01.cmdAtLengthObjectClick_Handler" textlink="">
      <xdr:nvSpPr>
        <xdr:cNvPr id="4" name="cmdAtLengthObject">
          <a:extLst>
            <a:ext uri="{FF2B5EF4-FFF2-40B4-BE49-F238E27FC236}">
              <a16:creationId xmlns:a16="http://schemas.microsoft.com/office/drawing/2014/main" id="{00000000-0008-0000-0400-000004000000}"/>
            </a:ext>
          </a:extLst>
        </xdr:cNvPr>
        <xdr:cNvSpPr/>
      </xdr:nvSpPr>
      <xdr:spPr>
        <a:xfrm>
          <a:off x="13296899" y="276225"/>
          <a:ext cx="15300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ru-RU" sz="900" b="1">
              <a:solidFill>
                <a:srgbClr val="0070C0"/>
              </a:solidFill>
              <a:latin typeface="Tahoma" panose="020B0604030504040204" pitchFamily="34" charset="0"/>
              <a:ea typeface="Tahoma" panose="020B0604030504040204" pitchFamily="34" charset="0"/>
              <a:cs typeface="Tahoma" panose="020B0604030504040204" pitchFamily="34" charset="0"/>
            </a:rPr>
            <a:t>- данные по объекту</a:t>
          </a:r>
        </a:p>
      </xdr:txBody>
    </xdr:sp>
    <xdr:clientData fPrintsWithSheet="0"/>
  </xdr:twoCellAnchor>
  <xdr:twoCellAnchor editAs="oneCell">
    <xdr:from>
      <xdr:col>5</xdr:col>
      <xdr:colOff>1714500</xdr:colOff>
      <xdr:row>4</xdr:row>
      <xdr:rowOff>114301</xdr:rowOff>
    </xdr:from>
    <xdr:to>
      <xdr:col>7</xdr:col>
      <xdr:colOff>228600</xdr:colOff>
      <xdr:row>6</xdr:row>
      <xdr:rowOff>28575</xdr:rowOff>
    </xdr:to>
    <xdr:sp macro="[0]!mod_01.cmdAtLengthEventClick_Handler" textlink="">
      <xdr:nvSpPr>
        <xdr:cNvPr id="5" name="cmdAtLengthEvent">
          <a:extLst>
            <a:ext uri="{FF2B5EF4-FFF2-40B4-BE49-F238E27FC236}">
              <a16:creationId xmlns:a16="http://schemas.microsoft.com/office/drawing/2014/main" id="{00000000-0008-0000-0400-000005000000}"/>
            </a:ext>
          </a:extLst>
        </xdr:cNvPr>
        <xdr:cNvSpPr/>
      </xdr:nvSpPr>
      <xdr:spPr>
        <a:xfrm>
          <a:off x="4467225" y="276226"/>
          <a:ext cx="2000250" cy="219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ru-RU" sz="900" b="1">
              <a:solidFill>
                <a:srgbClr val="0070C0"/>
              </a:solidFill>
              <a:latin typeface="Tahoma" panose="020B0604030504040204" pitchFamily="34" charset="0"/>
              <a:ea typeface="Tahoma" panose="020B0604030504040204" pitchFamily="34" charset="0"/>
              <a:cs typeface="Tahoma" panose="020B0604030504040204" pitchFamily="34" charset="0"/>
            </a:rPr>
            <a:t>- данные по мероприятию</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xdr:colOff>
      <xdr:row>3</xdr:row>
      <xdr:rowOff>28575</xdr:rowOff>
    </xdr:from>
    <xdr:to>
      <xdr:col>2</xdr:col>
      <xdr:colOff>323850</xdr:colOff>
      <xdr:row>5</xdr:row>
      <xdr:rowOff>9525</xdr:rowOff>
    </xdr:to>
    <xdr:pic macro="[0]!mod_00.FREEZE_PANES">
      <xdr:nvPicPr>
        <xdr:cNvPr id="218340" name="FREEZE_PANES_C8" descr="update_org.png">
          <a:extLst>
            <a:ext uri="{FF2B5EF4-FFF2-40B4-BE49-F238E27FC236}">
              <a16:creationId xmlns:a16="http://schemas.microsoft.com/office/drawing/2014/main" id="{00000000-0008-0000-0500-0000E454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447675</xdr:colOff>
      <xdr:row>0</xdr:row>
      <xdr:rowOff>0</xdr:rowOff>
    </xdr:from>
    <xdr:to>
      <xdr:col>3</xdr:col>
      <xdr:colOff>126075</xdr:colOff>
      <xdr:row>2</xdr:row>
      <xdr:rowOff>2250</xdr:rowOff>
    </xdr:to>
    <xdr:pic macro="[0]!AllSheetsInThisWorkbook.MakeList">
      <xdr:nvPicPr>
        <xdr:cNvPr id="3" name="Рисунок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4276725" y="0"/>
          <a:ext cx="288000" cy="288000"/>
        </a:xfrm>
        <a:prstGeom prst="rect">
          <a:avLst/>
        </a:prstGeom>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_________Microsoft_Word_97_20031.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_________Microsoft_Word_97_20033.doc"/><Relationship Id="rId4" Type="http://schemas.openxmlformats.org/officeDocument/2006/relationships/oleObject" Target="../embeddings/_________Microsoft_Word_97_2003.doc"/><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C118"/>
  <sheetViews>
    <sheetView showGridLines="0" zoomScaleNormal="100" workbookViewId="0"/>
  </sheetViews>
  <sheetFormatPr defaultColWidth="9.140625" defaultRowHeight="14.25"/>
  <cols>
    <col min="1" max="1" width="3.28515625" style="57" customWidth="1"/>
    <col min="2" max="2" width="8.7109375" style="57" customWidth="1"/>
    <col min="3" max="3" width="22.28515625" style="57" customWidth="1"/>
    <col min="4" max="4" width="4.28515625" style="57" customWidth="1"/>
    <col min="5" max="6" width="4.42578125" style="57" customWidth="1"/>
    <col min="7" max="7" width="4.5703125" style="57" customWidth="1"/>
    <col min="8" max="24" width="4.42578125" style="57" customWidth="1"/>
    <col min="25" max="25" width="4.42578125" style="58" customWidth="1"/>
    <col min="26" max="26" width="9.140625" style="57"/>
    <col min="27" max="27" width="9.140625" style="59"/>
    <col min="28" max="16384" width="9.140625" style="57"/>
  </cols>
  <sheetData>
    <row r="1" spans="1:29" ht="10.5" customHeight="1">
      <c r="AA1" s="59" t="s">
        <v>170</v>
      </c>
    </row>
    <row r="2" spans="1:29" ht="16.5" customHeight="1">
      <c r="B2" s="334" t="str">
        <f>"Код шаблона: " &amp; GetCode()</f>
        <v>Код шаблона: INV.WARM.2020YEAR</v>
      </c>
      <c r="C2" s="334"/>
      <c r="D2" s="334"/>
      <c r="E2" s="334"/>
      <c r="F2" s="334"/>
      <c r="G2" s="334"/>
      <c r="H2" s="60"/>
      <c r="I2" s="60"/>
      <c r="J2" s="60"/>
      <c r="K2" s="60"/>
      <c r="L2" s="60"/>
      <c r="M2" s="60"/>
      <c r="N2" s="60"/>
      <c r="O2" s="60"/>
      <c r="P2" s="60"/>
      <c r="Q2" s="60"/>
      <c r="R2" s="60"/>
      <c r="S2" s="60"/>
      <c r="T2" s="60"/>
      <c r="U2" s="60"/>
      <c r="V2" s="60"/>
      <c r="W2" s="58"/>
      <c r="Y2" s="59"/>
      <c r="AA2" s="57"/>
    </row>
    <row r="3" spans="1:29" ht="18" customHeight="1">
      <c r="B3" s="335" t="str">
        <f>"Версия " &amp; GetVersion()</f>
        <v>Версия 1.1</v>
      </c>
      <c r="C3" s="335"/>
      <c r="D3" s="61"/>
      <c r="E3" s="61"/>
      <c r="F3" s="61"/>
      <c r="G3" s="61"/>
      <c r="H3" s="62"/>
      <c r="I3" s="62"/>
      <c r="J3" s="62"/>
      <c r="K3" s="62"/>
      <c r="L3" s="62"/>
      <c r="M3" s="62"/>
      <c r="N3" s="62"/>
      <c r="O3" s="62"/>
      <c r="P3" s="62"/>
      <c r="Q3" s="62"/>
      <c r="R3" s="62"/>
      <c r="S3" s="60"/>
      <c r="T3" s="60"/>
      <c r="U3" s="60"/>
      <c r="V3" s="62"/>
      <c r="W3" s="62"/>
      <c r="X3" s="62"/>
      <c r="Y3" s="62"/>
    </row>
    <row r="4" spans="1:29" ht="6" customHeight="1">
      <c r="B4" s="63"/>
      <c r="D4" s="62"/>
      <c r="E4" s="62"/>
      <c r="F4" s="62"/>
      <c r="G4" s="62"/>
      <c r="H4" s="62"/>
      <c r="I4" s="62"/>
      <c r="J4" s="62"/>
      <c r="K4" s="62"/>
      <c r="L4" s="62"/>
      <c r="M4" s="62"/>
      <c r="N4" s="62"/>
      <c r="O4" s="62"/>
      <c r="P4" s="62"/>
      <c r="Q4" s="62"/>
      <c r="R4" s="62"/>
      <c r="S4" s="62"/>
      <c r="T4" s="62"/>
      <c r="U4" s="62"/>
      <c r="V4" s="62"/>
      <c r="W4" s="62"/>
      <c r="X4" s="62"/>
      <c r="Y4" s="62"/>
    </row>
    <row r="5" spans="1:29" ht="32.25" customHeight="1">
      <c r="A5" s="64"/>
      <c r="B5" s="336" t="str">
        <f>Титульный!E5</f>
        <v>Контроль за использованием инвестиционных ресурсов, включаемых в регулируемые государством цены (тарифы) в сфере теплоснабжения за 2020 год</v>
      </c>
      <c r="C5" s="337"/>
      <c r="D5" s="337"/>
      <c r="E5" s="337"/>
      <c r="F5" s="337"/>
      <c r="G5" s="337"/>
      <c r="H5" s="337"/>
      <c r="I5" s="337"/>
      <c r="J5" s="337"/>
      <c r="K5" s="337"/>
      <c r="L5" s="337"/>
      <c r="M5" s="337"/>
      <c r="N5" s="337"/>
      <c r="O5" s="337"/>
      <c r="P5" s="337"/>
      <c r="Q5" s="337"/>
      <c r="R5" s="337"/>
      <c r="S5" s="337"/>
      <c r="T5" s="337"/>
      <c r="U5" s="337"/>
      <c r="V5" s="337"/>
      <c r="W5" s="337"/>
      <c r="X5" s="337"/>
      <c r="Y5" s="338"/>
      <c r="Z5" s="64"/>
      <c r="AB5" s="64"/>
      <c r="AC5" s="64"/>
    </row>
    <row r="6" spans="1:29" ht="9.75" customHeight="1">
      <c r="A6" s="65"/>
      <c r="B6" s="66"/>
      <c r="C6" s="67"/>
      <c r="D6" s="68"/>
      <c r="E6" s="68"/>
      <c r="F6" s="68"/>
      <c r="G6" s="68"/>
      <c r="H6" s="68"/>
      <c r="I6" s="68"/>
      <c r="J6" s="68"/>
      <c r="K6" s="68"/>
      <c r="L6" s="68"/>
      <c r="M6" s="68"/>
      <c r="N6" s="68"/>
      <c r="O6" s="68"/>
      <c r="P6" s="68"/>
      <c r="Q6" s="68"/>
      <c r="R6" s="68"/>
      <c r="S6" s="68"/>
      <c r="T6" s="68"/>
      <c r="U6" s="68"/>
      <c r="V6" s="68"/>
      <c r="W6" s="68"/>
      <c r="X6" s="68"/>
      <c r="Y6" s="69"/>
    </row>
    <row r="7" spans="1:29" ht="15" customHeight="1">
      <c r="A7" s="65"/>
      <c r="B7" s="70"/>
      <c r="C7" s="71"/>
      <c r="D7" s="68"/>
      <c r="E7" s="339" t="s">
        <v>364</v>
      </c>
      <c r="F7" s="339"/>
      <c r="G7" s="339"/>
      <c r="H7" s="339"/>
      <c r="I7" s="339"/>
      <c r="J7" s="339"/>
      <c r="K7" s="339"/>
      <c r="L7" s="339"/>
      <c r="M7" s="339"/>
      <c r="N7" s="339"/>
      <c r="O7" s="339"/>
      <c r="P7" s="339"/>
      <c r="Q7" s="339"/>
      <c r="R7" s="339"/>
      <c r="S7" s="339"/>
      <c r="T7" s="339"/>
      <c r="U7" s="339"/>
      <c r="V7" s="339"/>
      <c r="W7" s="339"/>
      <c r="X7" s="339"/>
      <c r="Y7" s="69"/>
    </row>
    <row r="8" spans="1:29" ht="15" customHeight="1">
      <c r="A8" s="65"/>
      <c r="B8" s="70"/>
      <c r="C8" s="71"/>
      <c r="D8" s="68"/>
      <c r="E8" s="339"/>
      <c r="F8" s="339"/>
      <c r="G8" s="339"/>
      <c r="H8" s="339"/>
      <c r="I8" s="339"/>
      <c r="J8" s="339"/>
      <c r="K8" s="339"/>
      <c r="L8" s="339"/>
      <c r="M8" s="339"/>
      <c r="N8" s="339"/>
      <c r="O8" s="339"/>
      <c r="P8" s="339"/>
      <c r="Q8" s="339"/>
      <c r="R8" s="339"/>
      <c r="S8" s="339"/>
      <c r="T8" s="339"/>
      <c r="U8" s="339"/>
      <c r="V8" s="339"/>
      <c r="W8" s="339"/>
      <c r="X8" s="339"/>
      <c r="Y8" s="69"/>
    </row>
    <row r="9" spans="1:29" ht="15" customHeight="1">
      <c r="A9" s="65"/>
      <c r="B9" s="70"/>
      <c r="C9" s="71"/>
      <c r="D9" s="68"/>
      <c r="E9" s="339"/>
      <c r="F9" s="339"/>
      <c r="G9" s="339"/>
      <c r="H9" s="339"/>
      <c r="I9" s="339"/>
      <c r="J9" s="339"/>
      <c r="K9" s="339"/>
      <c r="L9" s="339"/>
      <c r="M9" s="339"/>
      <c r="N9" s="339"/>
      <c r="O9" s="339"/>
      <c r="P9" s="339"/>
      <c r="Q9" s="339"/>
      <c r="R9" s="339"/>
      <c r="S9" s="339"/>
      <c r="T9" s="339"/>
      <c r="U9" s="339"/>
      <c r="V9" s="339"/>
      <c r="W9" s="339"/>
      <c r="X9" s="339"/>
      <c r="Y9" s="69"/>
    </row>
    <row r="10" spans="1:29" ht="10.5" customHeight="1">
      <c r="A10" s="65"/>
      <c r="B10" s="70"/>
      <c r="C10" s="71"/>
      <c r="D10" s="68"/>
      <c r="E10" s="339"/>
      <c r="F10" s="339"/>
      <c r="G10" s="339"/>
      <c r="H10" s="339"/>
      <c r="I10" s="339"/>
      <c r="J10" s="339"/>
      <c r="K10" s="339"/>
      <c r="L10" s="339"/>
      <c r="M10" s="339"/>
      <c r="N10" s="339"/>
      <c r="O10" s="339"/>
      <c r="P10" s="339"/>
      <c r="Q10" s="339"/>
      <c r="R10" s="339"/>
      <c r="S10" s="339"/>
      <c r="T10" s="339"/>
      <c r="U10" s="339"/>
      <c r="V10" s="339"/>
      <c r="W10" s="339"/>
      <c r="X10" s="339"/>
      <c r="Y10" s="69"/>
    </row>
    <row r="11" spans="1:29" ht="27" customHeight="1">
      <c r="A11" s="65"/>
      <c r="B11" s="70"/>
      <c r="C11" s="71"/>
      <c r="D11" s="68"/>
      <c r="E11" s="339"/>
      <c r="F11" s="339"/>
      <c r="G11" s="339"/>
      <c r="H11" s="339"/>
      <c r="I11" s="339"/>
      <c r="J11" s="339"/>
      <c r="K11" s="339"/>
      <c r="L11" s="339"/>
      <c r="M11" s="339"/>
      <c r="N11" s="339"/>
      <c r="O11" s="339"/>
      <c r="P11" s="339"/>
      <c r="Q11" s="339"/>
      <c r="R11" s="339"/>
      <c r="S11" s="339"/>
      <c r="T11" s="339"/>
      <c r="U11" s="339"/>
      <c r="V11" s="339"/>
      <c r="W11" s="339"/>
      <c r="X11" s="339"/>
      <c r="Y11" s="69"/>
    </row>
    <row r="12" spans="1:29" ht="12" customHeight="1">
      <c r="A12" s="65"/>
      <c r="B12" s="70"/>
      <c r="C12" s="71"/>
      <c r="D12" s="68"/>
      <c r="E12" s="339"/>
      <c r="F12" s="339"/>
      <c r="G12" s="339"/>
      <c r="H12" s="339"/>
      <c r="I12" s="339"/>
      <c r="J12" s="339"/>
      <c r="K12" s="339"/>
      <c r="L12" s="339"/>
      <c r="M12" s="339"/>
      <c r="N12" s="339"/>
      <c r="O12" s="339"/>
      <c r="P12" s="339"/>
      <c r="Q12" s="339"/>
      <c r="R12" s="339"/>
      <c r="S12" s="339"/>
      <c r="T12" s="339"/>
      <c r="U12" s="339"/>
      <c r="V12" s="339"/>
      <c r="W12" s="339"/>
      <c r="X12" s="339"/>
      <c r="Y12" s="69"/>
    </row>
    <row r="13" spans="1:29" ht="38.25" customHeight="1">
      <c r="A13" s="65"/>
      <c r="B13" s="70"/>
      <c r="C13" s="71"/>
      <c r="D13" s="68"/>
      <c r="E13" s="339"/>
      <c r="F13" s="339"/>
      <c r="G13" s="339"/>
      <c r="H13" s="339"/>
      <c r="I13" s="339"/>
      <c r="J13" s="339"/>
      <c r="K13" s="339"/>
      <c r="L13" s="339"/>
      <c r="M13" s="339"/>
      <c r="N13" s="339"/>
      <c r="O13" s="339"/>
      <c r="P13" s="339"/>
      <c r="Q13" s="339"/>
      <c r="R13" s="339"/>
      <c r="S13" s="339"/>
      <c r="T13" s="339"/>
      <c r="U13" s="339"/>
      <c r="V13" s="339"/>
      <c r="W13" s="339"/>
      <c r="X13" s="339"/>
      <c r="Y13" s="72"/>
    </row>
    <row r="14" spans="1:29" ht="15" customHeight="1">
      <c r="A14" s="65"/>
      <c r="B14" s="70"/>
      <c r="C14" s="71"/>
      <c r="D14" s="68"/>
      <c r="E14" s="339" t="s">
        <v>257</v>
      </c>
      <c r="F14" s="339"/>
      <c r="G14" s="339"/>
      <c r="H14" s="339"/>
      <c r="I14" s="339"/>
      <c r="J14" s="339"/>
      <c r="K14" s="339"/>
      <c r="L14" s="339"/>
      <c r="M14" s="339"/>
      <c r="N14" s="339"/>
      <c r="O14" s="339"/>
      <c r="P14" s="339"/>
      <c r="Q14" s="339"/>
      <c r="R14" s="339"/>
      <c r="S14" s="339"/>
      <c r="T14" s="339"/>
      <c r="U14" s="339"/>
      <c r="V14" s="339"/>
      <c r="W14" s="339"/>
      <c r="X14" s="339"/>
      <c r="Y14" s="69"/>
    </row>
    <row r="15" spans="1:29" ht="15">
      <c r="A15" s="65"/>
      <c r="B15" s="70"/>
      <c r="C15" s="71"/>
      <c r="D15" s="68"/>
      <c r="E15" s="339"/>
      <c r="F15" s="339"/>
      <c r="G15" s="339"/>
      <c r="H15" s="339"/>
      <c r="I15" s="339"/>
      <c r="J15" s="339"/>
      <c r="K15" s="339"/>
      <c r="L15" s="339"/>
      <c r="M15" s="339"/>
      <c r="N15" s="339"/>
      <c r="O15" s="339"/>
      <c r="P15" s="339"/>
      <c r="Q15" s="339"/>
      <c r="R15" s="339"/>
      <c r="S15" s="339"/>
      <c r="T15" s="339"/>
      <c r="U15" s="339"/>
      <c r="V15" s="339"/>
      <c r="W15" s="339"/>
      <c r="X15" s="339"/>
      <c r="Y15" s="69"/>
    </row>
    <row r="16" spans="1:29" ht="15">
      <c r="A16" s="65"/>
      <c r="B16" s="70"/>
      <c r="C16" s="71"/>
      <c r="D16" s="68"/>
      <c r="E16" s="339"/>
      <c r="F16" s="339"/>
      <c r="G16" s="339"/>
      <c r="H16" s="339"/>
      <c r="I16" s="339"/>
      <c r="J16" s="339"/>
      <c r="K16" s="339"/>
      <c r="L16" s="339"/>
      <c r="M16" s="339"/>
      <c r="N16" s="339"/>
      <c r="O16" s="339"/>
      <c r="P16" s="339"/>
      <c r="Q16" s="339"/>
      <c r="R16" s="339"/>
      <c r="S16" s="339"/>
      <c r="T16" s="339"/>
      <c r="U16" s="339"/>
      <c r="V16" s="339"/>
      <c r="W16" s="339"/>
      <c r="X16" s="339"/>
      <c r="Y16" s="69"/>
    </row>
    <row r="17" spans="1:25" ht="15" customHeight="1">
      <c r="A17" s="65"/>
      <c r="B17" s="70"/>
      <c r="C17" s="71"/>
      <c r="D17" s="68"/>
      <c r="E17" s="339"/>
      <c r="F17" s="339"/>
      <c r="G17" s="339"/>
      <c r="H17" s="339"/>
      <c r="I17" s="339"/>
      <c r="J17" s="339"/>
      <c r="K17" s="339"/>
      <c r="L17" s="339"/>
      <c r="M17" s="339"/>
      <c r="N17" s="339"/>
      <c r="O17" s="339"/>
      <c r="P17" s="339"/>
      <c r="Q17" s="339"/>
      <c r="R17" s="339"/>
      <c r="S17" s="339"/>
      <c r="T17" s="339"/>
      <c r="U17" s="339"/>
      <c r="V17" s="339"/>
      <c r="W17" s="339"/>
      <c r="X17" s="339"/>
      <c r="Y17" s="69"/>
    </row>
    <row r="18" spans="1:25" ht="15">
      <c r="A18" s="65"/>
      <c r="B18" s="70"/>
      <c r="C18" s="71"/>
      <c r="D18" s="68"/>
      <c r="E18" s="339"/>
      <c r="F18" s="339"/>
      <c r="G18" s="339"/>
      <c r="H18" s="339"/>
      <c r="I18" s="339"/>
      <c r="J18" s="339"/>
      <c r="K18" s="339"/>
      <c r="L18" s="339"/>
      <c r="M18" s="339"/>
      <c r="N18" s="339"/>
      <c r="O18" s="339"/>
      <c r="P18" s="339"/>
      <c r="Q18" s="339"/>
      <c r="R18" s="339"/>
      <c r="S18" s="339"/>
      <c r="T18" s="339"/>
      <c r="U18" s="339"/>
      <c r="V18" s="339"/>
      <c r="W18" s="339"/>
      <c r="X18" s="339"/>
      <c r="Y18" s="69"/>
    </row>
    <row r="19" spans="1:25" ht="59.25" customHeight="1">
      <c r="A19" s="65"/>
      <c r="B19" s="70"/>
      <c r="C19" s="71"/>
      <c r="D19" s="73"/>
      <c r="E19" s="339"/>
      <c r="F19" s="339"/>
      <c r="G19" s="339"/>
      <c r="H19" s="339"/>
      <c r="I19" s="339"/>
      <c r="J19" s="339"/>
      <c r="K19" s="339"/>
      <c r="L19" s="339"/>
      <c r="M19" s="339"/>
      <c r="N19" s="339"/>
      <c r="O19" s="339"/>
      <c r="P19" s="339"/>
      <c r="Q19" s="339"/>
      <c r="R19" s="339"/>
      <c r="S19" s="339"/>
      <c r="T19" s="339"/>
      <c r="U19" s="339"/>
      <c r="V19" s="339"/>
      <c r="W19" s="339"/>
      <c r="X19" s="339"/>
      <c r="Y19" s="69"/>
    </row>
    <row r="20" spans="1:25" ht="15" hidden="1">
      <c r="A20" s="65"/>
      <c r="B20" s="70"/>
      <c r="C20" s="71"/>
      <c r="D20" s="73"/>
      <c r="E20" s="74"/>
      <c r="F20" s="74"/>
      <c r="G20" s="74"/>
      <c r="H20" s="74"/>
      <c r="I20" s="74"/>
      <c r="J20" s="74"/>
      <c r="K20" s="74"/>
      <c r="L20" s="74"/>
      <c r="M20" s="74"/>
      <c r="N20" s="74"/>
      <c r="O20" s="74"/>
      <c r="P20" s="74"/>
      <c r="Q20" s="74"/>
      <c r="R20" s="74"/>
      <c r="S20" s="74"/>
      <c r="T20" s="74"/>
      <c r="U20" s="74"/>
      <c r="V20" s="74"/>
      <c r="W20" s="74"/>
      <c r="X20" s="74"/>
      <c r="Y20" s="69"/>
    </row>
    <row r="21" spans="1:25" ht="14.25" hidden="1" customHeight="1">
      <c r="A21" s="65"/>
      <c r="B21" s="70"/>
      <c r="C21" s="71"/>
      <c r="D21" s="66"/>
      <c r="E21" s="75" t="s">
        <v>171</v>
      </c>
      <c r="F21" s="352" t="s">
        <v>172</v>
      </c>
      <c r="G21" s="353"/>
      <c r="H21" s="353"/>
      <c r="I21" s="353"/>
      <c r="J21" s="353"/>
      <c r="K21" s="353"/>
      <c r="L21" s="353"/>
      <c r="M21" s="353"/>
      <c r="N21" s="76"/>
      <c r="O21" s="77" t="s">
        <v>171</v>
      </c>
      <c r="P21" s="341" t="s">
        <v>173</v>
      </c>
      <c r="Q21" s="342"/>
      <c r="R21" s="342"/>
      <c r="S21" s="342"/>
      <c r="T21" s="342"/>
      <c r="U21" s="342"/>
      <c r="V21" s="342"/>
      <c r="W21" s="342"/>
      <c r="X21" s="342"/>
      <c r="Y21" s="69"/>
    </row>
    <row r="22" spans="1:25" ht="14.25" hidden="1" customHeight="1">
      <c r="A22" s="65"/>
      <c r="B22" s="70"/>
      <c r="C22" s="71"/>
      <c r="D22" s="66"/>
      <c r="E22" s="78" t="s">
        <v>171</v>
      </c>
      <c r="F22" s="352" t="s">
        <v>174</v>
      </c>
      <c r="G22" s="353"/>
      <c r="H22" s="353"/>
      <c r="I22" s="353"/>
      <c r="J22" s="353"/>
      <c r="K22" s="353"/>
      <c r="L22" s="353"/>
      <c r="M22" s="353"/>
      <c r="N22" s="76"/>
      <c r="O22" s="79" t="s">
        <v>171</v>
      </c>
      <c r="P22" s="341" t="s">
        <v>175</v>
      </c>
      <c r="Q22" s="342"/>
      <c r="R22" s="342"/>
      <c r="S22" s="342"/>
      <c r="T22" s="342"/>
      <c r="U22" s="342"/>
      <c r="V22" s="342"/>
      <c r="W22" s="342"/>
      <c r="X22" s="342"/>
      <c r="Y22" s="69"/>
    </row>
    <row r="23" spans="1:25" ht="27" hidden="1" customHeight="1">
      <c r="A23" s="65"/>
      <c r="B23" s="70"/>
      <c r="C23" s="71"/>
      <c r="D23" s="66"/>
      <c r="E23" s="68"/>
      <c r="F23" s="68"/>
      <c r="G23" s="68"/>
      <c r="H23" s="68"/>
      <c r="I23" s="68"/>
      <c r="J23" s="68"/>
      <c r="K23" s="68"/>
      <c r="L23" s="68"/>
      <c r="M23" s="68"/>
      <c r="N23" s="68"/>
      <c r="O23" s="68"/>
      <c r="P23" s="68"/>
      <c r="Q23" s="68"/>
      <c r="R23" s="68"/>
      <c r="S23" s="68"/>
      <c r="T23" s="68"/>
      <c r="U23" s="68"/>
      <c r="V23" s="68"/>
      <c r="W23" s="68"/>
      <c r="X23" s="68"/>
      <c r="Y23" s="69"/>
    </row>
    <row r="24" spans="1:25" ht="10.5" hidden="1" customHeight="1">
      <c r="A24" s="65"/>
      <c r="B24" s="70"/>
      <c r="C24" s="71"/>
      <c r="D24" s="66"/>
      <c r="E24" s="68"/>
      <c r="F24" s="68"/>
      <c r="G24" s="68"/>
      <c r="H24" s="68"/>
      <c r="I24" s="68"/>
      <c r="J24" s="68"/>
      <c r="K24" s="68"/>
      <c r="L24" s="68"/>
      <c r="M24" s="68"/>
      <c r="N24" s="68"/>
      <c r="O24" s="68"/>
      <c r="P24" s="68"/>
      <c r="Q24" s="68"/>
      <c r="R24" s="68"/>
      <c r="S24" s="68"/>
      <c r="T24" s="68"/>
      <c r="U24" s="68"/>
      <c r="V24" s="68"/>
      <c r="W24" s="68"/>
      <c r="X24" s="68"/>
      <c r="Y24" s="69"/>
    </row>
    <row r="25" spans="1:25" ht="27" hidden="1" customHeight="1">
      <c r="A25" s="65"/>
      <c r="B25" s="70"/>
      <c r="C25" s="71"/>
      <c r="D25" s="66"/>
      <c r="E25" s="68"/>
      <c r="F25" s="68"/>
      <c r="G25" s="68"/>
      <c r="H25" s="68"/>
      <c r="I25" s="68"/>
      <c r="J25" s="68"/>
      <c r="K25" s="68"/>
      <c r="L25" s="68"/>
      <c r="M25" s="68"/>
      <c r="N25" s="68"/>
      <c r="O25" s="68"/>
      <c r="P25" s="68"/>
      <c r="Q25" s="68"/>
      <c r="R25" s="68"/>
      <c r="S25" s="68"/>
      <c r="T25" s="68"/>
      <c r="U25" s="68"/>
      <c r="V25" s="68"/>
      <c r="W25" s="68"/>
      <c r="X25" s="68"/>
      <c r="Y25" s="69"/>
    </row>
    <row r="26" spans="1:25" ht="12" hidden="1" customHeight="1">
      <c r="A26" s="65"/>
      <c r="B26" s="70"/>
      <c r="C26" s="71"/>
      <c r="D26" s="66"/>
      <c r="E26" s="68"/>
      <c r="F26" s="68"/>
      <c r="G26" s="68"/>
      <c r="H26" s="68"/>
      <c r="I26" s="68"/>
      <c r="J26" s="68"/>
      <c r="K26" s="68"/>
      <c r="L26" s="68"/>
      <c r="M26" s="68"/>
      <c r="N26" s="68"/>
      <c r="O26" s="68"/>
      <c r="P26" s="68"/>
      <c r="Q26" s="68"/>
      <c r="R26" s="68"/>
      <c r="S26" s="68"/>
      <c r="T26" s="68"/>
      <c r="U26" s="68"/>
      <c r="V26" s="68"/>
      <c r="W26" s="68"/>
      <c r="X26" s="68"/>
      <c r="Y26" s="69"/>
    </row>
    <row r="27" spans="1:25" ht="38.25" hidden="1" customHeight="1">
      <c r="A27" s="65"/>
      <c r="B27" s="70"/>
      <c r="C27" s="71"/>
      <c r="D27" s="66"/>
      <c r="E27" s="68"/>
      <c r="F27" s="68"/>
      <c r="G27" s="68"/>
      <c r="H27" s="68"/>
      <c r="I27" s="68"/>
      <c r="J27" s="68"/>
      <c r="K27" s="68"/>
      <c r="L27" s="68"/>
      <c r="M27" s="68"/>
      <c r="N27" s="68"/>
      <c r="O27" s="68"/>
      <c r="P27" s="68"/>
      <c r="Q27" s="68"/>
      <c r="R27" s="68"/>
      <c r="S27" s="68"/>
      <c r="T27" s="68"/>
      <c r="U27" s="68"/>
      <c r="V27" s="68"/>
      <c r="W27" s="68"/>
      <c r="X27" s="68"/>
      <c r="Y27" s="69"/>
    </row>
    <row r="28" spans="1:25" ht="15" hidden="1">
      <c r="A28" s="65"/>
      <c r="B28" s="70"/>
      <c r="C28" s="71"/>
      <c r="D28" s="66"/>
      <c r="E28" s="68"/>
      <c r="F28" s="68"/>
      <c r="G28" s="68"/>
      <c r="H28" s="68"/>
      <c r="I28" s="68"/>
      <c r="J28" s="68"/>
      <c r="K28" s="68"/>
      <c r="L28" s="68"/>
      <c r="M28" s="68"/>
      <c r="N28" s="68"/>
      <c r="O28" s="68"/>
      <c r="P28" s="68"/>
      <c r="Q28" s="68"/>
      <c r="R28" s="68"/>
      <c r="S28" s="68"/>
      <c r="T28" s="68"/>
      <c r="U28" s="68"/>
      <c r="V28" s="68"/>
      <c r="W28" s="68"/>
      <c r="X28" s="68"/>
      <c r="Y28" s="69"/>
    </row>
    <row r="29" spans="1:25" ht="15" hidden="1">
      <c r="A29" s="65"/>
      <c r="B29" s="70"/>
      <c r="C29" s="71"/>
      <c r="D29" s="66"/>
      <c r="E29" s="68"/>
      <c r="F29" s="68"/>
      <c r="G29" s="68"/>
      <c r="H29" s="68"/>
      <c r="I29" s="68"/>
      <c r="J29" s="68"/>
      <c r="K29" s="68"/>
      <c r="L29" s="68"/>
      <c r="M29" s="68"/>
      <c r="N29" s="68"/>
      <c r="O29" s="68"/>
      <c r="P29" s="68"/>
      <c r="Q29" s="68"/>
      <c r="R29" s="68"/>
      <c r="S29" s="68"/>
      <c r="T29" s="68"/>
      <c r="U29" s="68"/>
      <c r="V29" s="68"/>
      <c r="W29" s="68"/>
      <c r="X29" s="68"/>
      <c r="Y29" s="69"/>
    </row>
    <row r="30" spans="1:25" ht="15" hidden="1">
      <c r="A30" s="65"/>
      <c r="B30" s="70"/>
      <c r="C30" s="71"/>
      <c r="D30" s="66"/>
      <c r="E30" s="68"/>
      <c r="F30" s="68"/>
      <c r="G30" s="68"/>
      <c r="H30" s="68"/>
      <c r="I30" s="68"/>
      <c r="J30" s="68"/>
      <c r="K30" s="68"/>
      <c r="L30" s="68"/>
      <c r="M30" s="68"/>
      <c r="N30" s="68"/>
      <c r="O30" s="68"/>
      <c r="P30" s="68"/>
      <c r="Q30" s="68"/>
      <c r="R30" s="68"/>
      <c r="S30" s="68"/>
      <c r="T30" s="68"/>
      <c r="U30" s="68"/>
      <c r="V30" s="68"/>
      <c r="W30" s="68"/>
      <c r="X30" s="68"/>
      <c r="Y30" s="69"/>
    </row>
    <row r="31" spans="1:25" ht="15" hidden="1">
      <c r="A31" s="65"/>
      <c r="B31" s="70"/>
      <c r="C31" s="71"/>
      <c r="D31" s="66"/>
      <c r="E31" s="68"/>
      <c r="F31" s="68"/>
      <c r="G31" s="68"/>
      <c r="H31" s="68"/>
      <c r="I31" s="68"/>
      <c r="J31" s="68"/>
      <c r="K31" s="68"/>
      <c r="L31" s="68"/>
      <c r="M31" s="68"/>
      <c r="N31" s="68"/>
      <c r="O31" s="68"/>
      <c r="P31" s="68"/>
      <c r="Q31" s="68"/>
      <c r="R31" s="68"/>
      <c r="S31" s="68"/>
      <c r="T31" s="68"/>
      <c r="U31" s="68"/>
      <c r="V31" s="68"/>
      <c r="W31" s="68"/>
      <c r="X31" s="68"/>
      <c r="Y31" s="69"/>
    </row>
    <row r="32" spans="1:25" ht="15" hidden="1">
      <c r="A32" s="65"/>
      <c r="B32" s="70"/>
      <c r="C32" s="71"/>
      <c r="D32" s="66"/>
      <c r="E32" s="68"/>
      <c r="F32" s="68"/>
      <c r="G32" s="68"/>
      <c r="H32" s="68"/>
      <c r="I32" s="68"/>
      <c r="J32" s="68"/>
      <c r="K32" s="68"/>
      <c r="L32" s="68"/>
      <c r="M32" s="68"/>
      <c r="N32" s="68"/>
      <c r="O32" s="68"/>
      <c r="P32" s="68"/>
      <c r="Q32" s="68"/>
      <c r="R32" s="68"/>
      <c r="S32" s="68"/>
      <c r="T32" s="68"/>
      <c r="U32" s="68"/>
      <c r="V32" s="68"/>
      <c r="W32" s="68"/>
      <c r="X32" s="68"/>
      <c r="Y32" s="69"/>
    </row>
    <row r="33" spans="1:25" ht="18.75" hidden="1" customHeight="1">
      <c r="A33" s="65"/>
      <c r="B33" s="70"/>
      <c r="C33" s="71"/>
      <c r="D33" s="73"/>
      <c r="E33" s="74"/>
      <c r="F33" s="74"/>
      <c r="G33" s="74"/>
      <c r="H33" s="74"/>
      <c r="I33" s="74"/>
      <c r="J33" s="74"/>
      <c r="K33" s="74"/>
      <c r="L33" s="74"/>
      <c r="M33" s="74"/>
      <c r="N33" s="74"/>
      <c r="O33" s="74"/>
      <c r="P33" s="74"/>
      <c r="Q33" s="74"/>
      <c r="R33" s="74"/>
      <c r="S33" s="74"/>
      <c r="T33" s="74"/>
      <c r="U33" s="74"/>
      <c r="V33" s="74"/>
      <c r="W33" s="74"/>
      <c r="X33" s="74"/>
      <c r="Y33" s="69"/>
    </row>
    <row r="34" spans="1:25" ht="15" hidden="1">
      <c r="A34" s="65"/>
      <c r="B34" s="70"/>
      <c r="C34" s="71"/>
      <c r="D34" s="73"/>
      <c r="E34" s="74"/>
      <c r="F34" s="74"/>
      <c r="G34" s="74"/>
      <c r="H34" s="74"/>
      <c r="I34" s="74"/>
      <c r="J34" s="74"/>
      <c r="K34" s="74"/>
      <c r="L34" s="74"/>
      <c r="M34" s="74"/>
      <c r="N34" s="74"/>
      <c r="O34" s="74"/>
      <c r="P34" s="74"/>
      <c r="Q34" s="74"/>
      <c r="R34" s="74"/>
      <c r="S34" s="74"/>
      <c r="T34" s="74"/>
      <c r="U34" s="74"/>
      <c r="V34" s="74"/>
      <c r="W34" s="74"/>
      <c r="X34" s="74"/>
      <c r="Y34" s="69"/>
    </row>
    <row r="35" spans="1:25" ht="24" hidden="1" customHeight="1">
      <c r="A35" s="65"/>
      <c r="B35" s="70"/>
      <c r="C35" s="71"/>
      <c r="D35" s="66"/>
      <c r="E35" s="343" t="s">
        <v>350</v>
      </c>
      <c r="F35" s="343"/>
      <c r="G35" s="343"/>
      <c r="H35" s="343"/>
      <c r="I35" s="343"/>
      <c r="J35" s="343"/>
      <c r="K35" s="343"/>
      <c r="L35" s="343"/>
      <c r="M35" s="343"/>
      <c r="N35" s="343"/>
      <c r="O35" s="343"/>
      <c r="P35" s="343"/>
      <c r="Q35" s="343"/>
      <c r="R35" s="343"/>
      <c r="S35" s="343"/>
      <c r="T35" s="343"/>
      <c r="U35" s="343"/>
      <c r="V35" s="343"/>
      <c r="W35" s="343"/>
      <c r="X35" s="343"/>
      <c r="Y35" s="69"/>
    </row>
    <row r="36" spans="1:25" ht="38.25" hidden="1" customHeight="1">
      <c r="A36" s="65"/>
      <c r="B36" s="70"/>
      <c r="C36" s="71"/>
      <c r="D36" s="66"/>
      <c r="E36" s="343"/>
      <c r="F36" s="343"/>
      <c r="G36" s="343"/>
      <c r="H36" s="343"/>
      <c r="I36" s="343"/>
      <c r="J36" s="343"/>
      <c r="K36" s="343"/>
      <c r="L36" s="343"/>
      <c r="M36" s="343"/>
      <c r="N36" s="343"/>
      <c r="O36" s="343"/>
      <c r="P36" s="343"/>
      <c r="Q36" s="343"/>
      <c r="R36" s="343"/>
      <c r="S36" s="343"/>
      <c r="T36" s="343"/>
      <c r="U36" s="343"/>
      <c r="V36" s="343"/>
      <c r="W36" s="343"/>
      <c r="X36" s="343"/>
      <c r="Y36" s="69"/>
    </row>
    <row r="37" spans="1:25" ht="9.75" hidden="1" customHeight="1">
      <c r="A37" s="65"/>
      <c r="B37" s="70"/>
      <c r="C37" s="71"/>
      <c r="D37" s="66"/>
      <c r="E37" s="343"/>
      <c r="F37" s="343"/>
      <c r="G37" s="343"/>
      <c r="H37" s="343"/>
      <c r="I37" s="343"/>
      <c r="J37" s="343"/>
      <c r="K37" s="343"/>
      <c r="L37" s="343"/>
      <c r="M37" s="343"/>
      <c r="N37" s="343"/>
      <c r="O37" s="343"/>
      <c r="P37" s="343"/>
      <c r="Q37" s="343"/>
      <c r="R37" s="343"/>
      <c r="S37" s="343"/>
      <c r="T37" s="343"/>
      <c r="U37" s="343"/>
      <c r="V37" s="343"/>
      <c r="W37" s="343"/>
      <c r="X37" s="343"/>
      <c r="Y37" s="69"/>
    </row>
    <row r="38" spans="1:25" ht="51" hidden="1" customHeight="1">
      <c r="A38" s="65"/>
      <c r="B38" s="70"/>
      <c r="C38" s="71"/>
      <c r="D38" s="66"/>
      <c r="E38" s="343"/>
      <c r="F38" s="343"/>
      <c r="G38" s="343"/>
      <c r="H38" s="343"/>
      <c r="I38" s="343"/>
      <c r="J38" s="343"/>
      <c r="K38" s="343"/>
      <c r="L38" s="343"/>
      <c r="M38" s="343"/>
      <c r="N38" s="343"/>
      <c r="O38" s="343"/>
      <c r="P38" s="343"/>
      <c r="Q38" s="343"/>
      <c r="R38" s="343"/>
      <c r="S38" s="343"/>
      <c r="T38" s="343"/>
      <c r="U38" s="343"/>
      <c r="V38" s="343"/>
      <c r="W38" s="343"/>
      <c r="X38" s="343"/>
      <c r="Y38" s="69"/>
    </row>
    <row r="39" spans="1:25" ht="15" hidden="1" customHeight="1">
      <c r="A39" s="65"/>
      <c r="B39" s="70"/>
      <c r="C39" s="71"/>
      <c r="D39" s="66"/>
      <c r="E39" s="343"/>
      <c r="F39" s="343"/>
      <c r="G39" s="343"/>
      <c r="H39" s="343"/>
      <c r="I39" s="343"/>
      <c r="J39" s="343"/>
      <c r="K39" s="343"/>
      <c r="L39" s="343"/>
      <c r="M39" s="343"/>
      <c r="N39" s="343"/>
      <c r="O39" s="343"/>
      <c r="P39" s="343"/>
      <c r="Q39" s="343"/>
      <c r="R39" s="343"/>
      <c r="S39" s="343"/>
      <c r="T39" s="343"/>
      <c r="U39" s="343"/>
      <c r="V39" s="343"/>
      <c r="W39" s="343"/>
      <c r="X39" s="343"/>
      <c r="Y39" s="69"/>
    </row>
    <row r="40" spans="1:25" ht="12" hidden="1" customHeight="1">
      <c r="A40" s="65"/>
      <c r="B40" s="70"/>
      <c r="C40" s="71"/>
      <c r="D40" s="66"/>
      <c r="E40" s="344"/>
      <c r="F40" s="344"/>
      <c r="G40" s="344"/>
      <c r="H40" s="344"/>
      <c r="I40" s="344"/>
      <c r="J40" s="344"/>
      <c r="K40" s="344"/>
      <c r="L40" s="344"/>
      <c r="M40" s="344"/>
      <c r="N40" s="344"/>
      <c r="O40" s="344"/>
      <c r="P40" s="344"/>
      <c r="Q40" s="344"/>
      <c r="R40" s="344"/>
      <c r="S40" s="344"/>
      <c r="T40" s="344"/>
      <c r="U40" s="344"/>
      <c r="V40" s="344"/>
      <c r="W40" s="344"/>
      <c r="X40" s="344"/>
      <c r="Y40" s="69"/>
    </row>
    <row r="41" spans="1:25" ht="38.25" hidden="1" customHeight="1">
      <c r="A41" s="65"/>
      <c r="B41" s="70"/>
      <c r="C41" s="71"/>
      <c r="D41" s="66"/>
      <c r="E41" s="343"/>
      <c r="F41" s="343"/>
      <c r="G41" s="343"/>
      <c r="H41" s="343"/>
      <c r="I41" s="343"/>
      <c r="J41" s="343"/>
      <c r="K41" s="343"/>
      <c r="L41" s="343"/>
      <c r="M41" s="343"/>
      <c r="N41" s="343"/>
      <c r="O41" s="343"/>
      <c r="P41" s="343"/>
      <c r="Q41" s="343"/>
      <c r="R41" s="343"/>
      <c r="S41" s="343"/>
      <c r="T41" s="343"/>
      <c r="U41" s="343"/>
      <c r="V41" s="343"/>
      <c r="W41" s="343"/>
      <c r="X41" s="343"/>
      <c r="Y41" s="69"/>
    </row>
    <row r="42" spans="1:25" ht="15" hidden="1">
      <c r="A42" s="65"/>
      <c r="B42" s="70"/>
      <c r="C42" s="71"/>
      <c r="D42" s="66"/>
      <c r="E42" s="343"/>
      <c r="F42" s="343"/>
      <c r="G42" s="343"/>
      <c r="H42" s="343"/>
      <c r="I42" s="343"/>
      <c r="J42" s="343"/>
      <c r="K42" s="343"/>
      <c r="L42" s="343"/>
      <c r="M42" s="343"/>
      <c r="N42" s="343"/>
      <c r="O42" s="343"/>
      <c r="P42" s="343"/>
      <c r="Q42" s="343"/>
      <c r="R42" s="343"/>
      <c r="S42" s="343"/>
      <c r="T42" s="343"/>
      <c r="U42" s="343"/>
      <c r="V42" s="343"/>
      <c r="W42" s="343"/>
      <c r="X42" s="343"/>
      <c r="Y42" s="69"/>
    </row>
    <row r="43" spans="1:25" ht="15" hidden="1">
      <c r="A43" s="65"/>
      <c r="B43" s="70"/>
      <c r="C43" s="71"/>
      <c r="D43" s="66"/>
      <c r="E43" s="343"/>
      <c r="F43" s="343"/>
      <c r="G43" s="343"/>
      <c r="H43" s="343"/>
      <c r="I43" s="343"/>
      <c r="J43" s="343"/>
      <c r="K43" s="343"/>
      <c r="L43" s="343"/>
      <c r="M43" s="343"/>
      <c r="N43" s="343"/>
      <c r="O43" s="343"/>
      <c r="P43" s="343"/>
      <c r="Q43" s="343"/>
      <c r="R43" s="343"/>
      <c r="S43" s="343"/>
      <c r="T43" s="343"/>
      <c r="U43" s="343"/>
      <c r="V43" s="343"/>
      <c r="W43" s="343"/>
      <c r="X43" s="343"/>
      <c r="Y43" s="69"/>
    </row>
    <row r="44" spans="1:25" ht="33.75" hidden="1" customHeight="1">
      <c r="A44" s="65"/>
      <c r="B44" s="70"/>
      <c r="C44" s="71"/>
      <c r="D44" s="73"/>
      <c r="E44" s="343"/>
      <c r="F44" s="343"/>
      <c r="G44" s="343"/>
      <c r="H44" s="343"/>
      <c r="I44" s="343"/>
      <c r="J44" s="343"/>
      <c r="K44" s="343"/>
      <c r="L44" s="343"/>
      <c r="M44" s="343"/>
      <c r="N44" s="343"/>
      <c r="O44" s="343"/>
      <c r="P44" s="343"/>
      <c r="Q44" s="343"/>
      <c r="R44" s="343"/>
      <c r="S44" s="343"/>
      <c r="T44" s="343"/>
      <c r="U44" s="343"/>
      <c r="V44" s="343"/>
      <c r="W44" s="343"/>
      <c r="X44" s="343"/>
      <c r="Y44" s="69"/>
    </row>
    <row r="45" spans="1:25" ht="15" hidden="1">
      <c r="A45" s="65"/>
      <c r="B45" s="70"/>
      <c r="C45" s="71"/>
      <c r="D45" s="73"/>
      <c r="E45" s="343"/>
      <c r="F45" s="343"/>
      <c r="G45" s="343"/>
      <c r="H45" s="343"/>
      <c r="I45" s="343"/>
      <c r="J45" s="343"/>
      <c r="K45" s="343"/>
      <c r="L45" s="343"/>
      <c r="M45" s="343"/>
      <c r="N45" s="343"/>
      <c r="O45" s="343"/>
      <c r="P45" s="343"/>
      <c r="Q45" s="343"/>
      <c r="R45" s="343"/>
      <c r="S45" s="343"/>
      <c r="T45" s="343"/>
      <c r="U45" s="343"/>
      <c r="V45" s="343"/>
      <c r="W45" s="343"/>
      <c r="X45" s="343"/>
      <c r="Y45" s="69"/>
    </row>
    <row r="46" spans="1:25" ht="24" hidden="1" customHeight="1">
      <c r="A46" s="65"/>
      <c r="B46" s="70"/>
      <c r="C46" s="71"/>
      <c r="D46" s="66"/>
      <c r="E46" s="339" t="s">
        <v>181</v>
      </c>
      <c r="F46" s="339"/>
      <c r="G46" s="339"/>
      <c r="H46" s="339"/>
      <c r="I46" s="339"/>
      <c r="J46" s="339"/>
      <c r="K46" s="339"/>
      <c r="L46" s="339"/>
      <c r="M46" s="339"/>
      <c r="N46" s="339"/>
      <c r="O46" s="339"/>
      <c r="P46" s="339"/>
      <c r="Q46" s="339"/>
      <c r="R46" s="339"/>
      <c r="S46" s="339"/>
      <c r="T46" s="339"/>
      <c r="U46" s="339"/>
      <c r="V46" s="339"/>
      <c r="W46" s="339"/>
      <c r="X46" s="339"/>
      <c r="Y46" s="69"/>
    </row>
    <row r="47" spans="1:25" ht="37.5" hidden="1" customHeight="1">
      <c r="A47" s="65"/>
      <c r="B47" s="70"/>
      <c r="C47" s="71"/>
      <c r="D47" s="66"/>
      <c r="E47" s="339"/>
      <c r="F47" s="339"/>
      <c r="G47" s="339"/>
      <c r="H47" s="339"/>
      <c r="I47" s="339"/>
      <c r="J47" s="339"/>
      <c r="K47" s="339"/>
      <c r="L47" s="339"/>
      <c r="M47" s="339"/>
      <c r="N47" s="339"/>
      <c r="O47" s="339"/>
      <c r="P47" s="339"/>
      <c r="Q47" s="339"/>
      <c r="R47" s="339"/>
      <c r="S47" s="339"/>
      <c r="T47" s="339"/>
      <c r="U47" s="339"/>
      <c r="V47" s="339"/>
      <c r="W47" s="339"/>
      <c r="X47" s="339"/>
      <c r="Y47" s="69"/>
    </row>
    <row r="48" spans="1:25" ht="24" hidden="1" customHeight="1">
      <c r="A48" s="65"/>
      <c r="B48" s="70"/>
      <c r="C48" s="71"/>
      <c r="D48" s="66"/>
      <c r="E48" s="339"/>
      <c r="F48" s="339"/>
      <c r="G48" s="339"/>
      <c r="H48" s="339"/>
      <c r="I48" s="339"/>
      <c r="J48" s="339"/>
      <c r="K48" s="339"/>
      <c r="L48" s="339"/>
      <c r="M48" s="339"/>
      <c r="N48" s="339"/>
      <c r="O48" s="339"/>
      <c r="P48" s="339"/>
      <c r="Q48" s="339"/>
      <c r="R48" s="339"/>
      <c r="S48" s="339"/>
      <c r="T48" s="339"/>
      <c r="U48" s="339"/>
      <c r="V48" s="339"/>
      <c r="W48" s="339"/>
      <c r="X48" s="339"/>
      <c r="Y48" s="69"/>
    </row>
    <row r="49" spans="1:25" ht="51" hidden="1" customHeight="1">
      <c r="A49" s="65"/>
      <c r="B49" s="70"/>
      <c r="C49" s="71"/>
      <c r="D49" s="66"/>
      <c r="E49" s="339"/>
      <c r="F49" s="339"/>
      <c r="G49" s="339"/>
      <c r="H49" s="339"/>
      <c r="I49" s="339"/>
      <c r="J49" s="339"/>
      <c r="K49" s="339"/>
      <c r="L49" s="339"/>
      <c r="M49" s="339"/>
      <c r="N49" s="339"/>
      <c r="O49" s="339"/>
      <c r="P49" s="339"/>
      <c r="Q49" s="339"/>
      <c r="R49" s="339"/>
      <c r="S49" s="339"/>
      <c r="T49" s="339"/>
      <c r="U49" s="339"/>
      <c r="V49" s="339"/>
      <c r="W49" s="339"/>
      <c r="X49" s="339"/>
      <c r="Y49" s="69"/>
    </row>
    <row r="50" spans="1:25" ht="15" hidden="1">
      <c r="A50" s="65"/>
      <c r="B50" s="70"/>
      <c r="C50" s="71"/>
      <c r="D50" s="66"/>
      <c r="E50" s="339"/>
      <c r="F50" s="339"/>
      <c r="G50" s="339"/>
      <c r="H50" s="339"/>
      <c r="I50" s="339"/>
      <c r="J50" s="339"/>
      <c r="K50" s="339"/>
      <c r="L50" s="339"/>
      <c r="M50" s="339"/>
      <c r="N50" s="339"/>
      <c r="O50" s="339"/>
      <c r="P50" s="339"/>
      <c r="Q50" s="339"/>
      <c r="R50" s="339"/>
      <c r="S50" s="339"/>
      <c r="T50" s="339"/>
      <c r="U50" s="339"/>
      <c r="V50" s="339"/>
      <c r="W50" s="339"/>
      <c r="X50" s="339"/>
      <c r="Y50" s="69"/>
    </row>
    <row r="51" spans="1:25" ht="15" hidden="1">
      <c r="A51" s="65"/>
      <c r="B51" s="70"/>
      <c r="C51" s="71"/>
      <c r="D51" s="66"/>
      <c r="E51" s="339"/>
      <c r="F51" s="339"/>
      <c r="G51" s="339"/>
      <c r="H51" s="339"/>
      <c r="I51" s="339"/>
      <c r="J51" s="339"/>
      <c r="K51" s="339"/>
      <c r="L51" s="339"/>
      <c r="M51" s="339"/>
      <c r="N51" s="339"/>
      <c r="O51" s="339"/>
      <c r="P51" s="339"/>
      <c r="Q51" s="339"/>
      <c r="R51" s="339"/>
      <c r="S51" s="339"/>
      <c r="T51" s="339"/>
      <c r="U51" s="339"/>
      <c r="V51" s="339"/>
      <c r="W51" s="339"/>
      <c r="X51" s="339"/>
      <c r="Y51" s="69"/>
    </row>
    <row r="52" spans="1:25" ht="15" hidden="1">
      <c r="A52" s="65"/>
      <c r="B52" s="70"/>
      <c r="C52" s="71"/>
      <c r="D52" s="66"/>
      <c r="E52" s="339"/>
      <c r="F52" s="339"/>
      <c r="G52" s="339"/>
      <c r="H52" s="339"/>
      <c r="I52" s="339"/>
      <c r="J52" s="339"/>
      <c r="K52" s="339"/>
      <c r="L52" s="339"/>
      <c r="M52" s="339"/>
      <c r="N52" s="339"/>
      <c r="O52" s="339"/>
      <c r="P52" s="339"/>
      <c r="Q52" s="339"/>
      <c r="R52" s="339"/>
      <c r="S52" s="339"/>
      <c r="T52" s="339"/>
      <c r="U52" s="339"/>
      <c r="V52" s="339"/>
      <c r="W52" s="339"/>
      <c r="X52" s="339"/>
      <c r="Y52" s="69"/>
    </row>
    <row r="53" spans="1:25" ht="15" hidden="1">
      <c r="A53" s="65"/>
      <c r="B53" s="70"/>
      <c r="C53" s="71"/>
      <c r="D53" s="66"/>
      <c r="E53" s="339"/>
      <c r="F53" s="339"/>
      <c r="G53" s="339"/>
      <c r="H53" s="339"/>
      <c r="I53" s="339"/>
      <c r="J53" s="339"/>
      <c r="K53" s="339"/>
      <c r="L53" s="339"/>
      <c r="M53" s="339"/>
      <c r="N53" s="339"/>
      <c r="O53" s="339"/>
      <c r="P53" s="339"/>
      <c r="Q53" s="339"/>
      <c r="R53" s="339"/>
      <c r="S53" s="339"/>
      <c r="T53" s="339"/>
      <c r="U53" s="339"/>
      <c r="V53" s="339"/>
      <c r="W53" s="339"/>
      <c r="X53" s="339"/>
      <c r="Y53" s="69"/>
    </row>
    <row r="54" spans="1:25" ht="15" hidden="1">
      <c r="A54" s="65"/>
      <c r="B54" s="70"/>
      <c r="C54" s="71"/>
      <c r="D54" s="66"/>
      <c r="E54" s="339"/>
      <c r="F54" s="339"/>
      <c r="G54" s="339"/>
      <c r="H54" s="339"/>
      <c r="I54" s="339"/>
      <c r="J54" s="339"/>
      <c r="K54" s="339"/>
      <c r="L54" s="339"/>
      <c r="M54" s="339"/>
      <c r="N54" s="339"/>
      <c r="O54" s="339"/>
      <c r="P54" s="339"/>
      <c r="Q54" s="339"/>
      <c r="R54" s="339"/>
      <c r="S54" s="339"/>
      <c r="T54" s="339"/>
      <c r="U54" s="339"/>
      <c r="V54" s="339"/>
      <c r="W54" s="339"/>
      <c r="X54" s="339"/>
      <c r="Y54" s="69"/>
    </row>
    <row r="55" spans="1:25" ht="15" hidden="1">
      <c r="A55" s="65"/>
      <c r="B55" s="70"/>
      <c r="C55" s="71"/>
      <c r="D55" s="66"/>
      <c r="E55" s="339"/>
      <c r="F55" s="339"/>
      <c r="G55" s="339"/>
      <c r="H55" s="339"/>
      <c r="I55" s="339"/>
      <c r="J55" s="339"/>
      <c r="K55" s="339"/>
      <c r="L55" s="339"/>
      <c r="M55" s="339"/>
      <c r="N55" s="339"/>
      <c r="O55" s="339"/>
      <c r="P55" s="339"/>
      <c r="Q55" s="339"/>
      <c r="R55" s="339"/>
      <c r="S55" s="339"/>
      <c r="T55" s="339"/>
      <c r="U55" s="339"/>
      <c r="V55" s="339"/>
      <c r="W55" s="339"/>
      <c r="X55" s="339"/>
      <c r="Y55" s="69"/>
    </row>
    <row r="56" spans="1:25" ht="25.5" hidden="1" customHeight="1">
      <c r="A56" s="65"/>
      <c r="B56" s="70"/>
      <c r="C56" s="71"/>
      <c r="D56" s="73"/>
      <c r="E56" s="339"/>
      <c r="F56" s="339"/>
      <c r="G56" s="339"/>
      <c r="H56" s="339"/>
      <c r="I56" s="339"/>
      <c r="J56" s="339"/>
      <c r="K56" s="339"/>
      <c r="L56" s="339"/>
      <c r="M56" s="339"/>
      <c r="N56" s="339"/>
      <c r="O56" s="339"/>
      <c r="P56" s="339"/>
      <c r="Q56" s="339"/>
      <c r="R56" s="339"/>
      <c r="S56" s="339"/>
      <c r="T56" s="339"/>
      <c r="U56" s="339"/>
      <c r="V56" s="339"/>
      <c r="W56" s="339"/>
      <c r="X56" s="339"/>
      <c r="Y56" s="69"/>
    </row>
    <row r="57" spans="1:25" ht="15" hidden="1">
      <c r="A57" s="65"/>
      <c r="B57" s="70"/>
      <c r="C57" s="71"/>
      <c r="D57" s="73"/>
      <c r="E57" s="339"/>
      <c r="F57" s="339"/>
      <c r="G57" s="339"/>
      <c r="H57" s="339"/>
      <c r="I57" s="339"/>
      <c r="J57" s="339"/>
      <c r="K57" s="339"/>
      <c r="L57" s="339"/>
      <c r="M57" s="339"/>
      <c r="N57" s="339"/>
      <c r="O57" s="339"/>
      <c r="P57" s="339"/>
      <c r="Q57" s="339"/>
      <c r="R57" s="339"/>
      <c r="S57" s="339"/>
      <c r="T57" s="339"/>
      <c r="U57" s="339"/>
      <c r="V57" s="339"/>
      <c r="W57" s="339"/>
      <c r="X57" s="339"/>
      <c r="Y57" s="69"/>
    </row>
    <row r="58" spans="1:25" ht="15" hidden="1" customHeight="1">
      <c r="A58" s="65"/>
      <c r="B58" s="70"/>
      <c r="C58" s="71"/>
      <c r="D58" s="66"/>
      <c r="E58" s="354" t="s">
        <v>258</v>
      </c>
      <c r="F58" s="354"/>
      <c r="G58" s="354"/>
      <c r="H58" s="354"/>
      <c r="I58" s="354"/>
      <c r="J58" s="354"/>
      <c r="K58" s="350" t="s">
        <v>259</v>
      </c>
      <c r="L58" s="350"/>
      <c r="M58" s="350"/>
      <c r="N58" s="350"/>
      <c r="O58" s="350"/>
      <c r="P58" s="350"/>
      <c r="Q58" s="350"/>
      <c r="R58" s="350"/>
      <c r="S58" s="350"/>
      <c r="T58" s="350"/>
      <c r="U58" s="350"/>
      <c r="V58" s="350"/>
      <c r="W58" s="350"/>
      <c r="X58" s="350"/>
      <c r="Y58" s="69"/>
    </row>
    <row r="59" spans="1:25" ht="15" hidden="1" customHeight="1">
      <c r="A59" s="65"/>
      <c r="B59" s="70"/>
      <c r="C59" s="71"/>
      <c r="D59" s="66"/>
      <c r="E59" s="331" t="s">
        <v>121</v>
      </c>
      <c r="F59" s="331"/>
      <c r="G59" s="331"/>
      <c r="H59" s="331"/>
      <c r="I59" s="331"/>
      <c r="J59" s="331"/>
      <c r="K59" s="350" t="s">
        <v>260</v>
      </c>
      <c r="L59" s="350"/>
      <c r="M59" s="350"/>
      <c r="N59" s="350"/>
      <c r="O59" s="350"/>
      <c r="P59" s="350"/>
      <c r="Q59" s="350"/>
      <c r="R59" s="350"/>
      <c r="S59" s="350"/>
      <c r="T59" s="350"/>
      <c r="U59" s="350"/>
      <c r="V59" s="350"/>
      <c r="W59" s="350"/>
      <c r="X59" s="350"/>
      <c r="Y59" s="69"/>
    </row>
    <row r="60" spans="1:25" ht="15" hidden="1" customHeight="1">
      <c r="A60" s="65"/>
      <c r="B60" s="70"/>
      <c r="C60" s="71"/>
      <c r="D60" s="66"/>
      <c r="E60" s="345"/>
      <c r="F60" s="345"/>
      <c r="G60" s="345"/>
      <c r="H60" s="346"/>
      <c r="I60" s="346"/>
      <c r="J60" s="346"/>
      <c r="K60" s="346"/>
      <c r="L60" s="346"/>
      <c r="M60" s="346"/>
      <c r="N60" s="346"/>
      <c r="O60" s="346"/>
      <c r="P60" s="346"/>
      <c r="Q60" s="346"/>
      <c r="R60" s="346"/>
      <c r="S60" s="346"/>
      <c r="T60" s="346"/>
      <c r="U60" s="346"/>
      <c r="V60" s="346"/>
      <c r="W60" s="346"/>
      <c r="X60" s="346"/>
      <c r="Y60" s="69"/>
    </row>
    <row r="61" spans="1:25" ht="15" hidden="1">
      <c r="A61" s="65"/>
      <c r="B61" s="70"/>
      <c r="C61" s="71"/>
      <c r="D61" s="66"/>
      <c r="E61" s="81"/>
      <c r="F61" s="80"/>
      <c r="G61" s="82"/>
      <c r="H61" s="326"/>
      <c r="I61" s="326"/>
      <c r="J61" s="326"/>
      <c r="K61" s="326"/>
      <c r="L61" s="326"/>
      <c r="M61" s="326"/>
      <c r="N61" s="326"/>
      <c r="O61" s="326"/>
      <c r="P61" s="326"/>
      <c r="Q61" s="326"/>
      <c r="R61" s="326"/>
      <c r="S61" s="326"/>
      <c r="T61" s="326"/>
      <c r="U61" s="326"/>
      <c r="V61" s="326"/>
      <c r="W61" s="326"/>
      <c r="X61" s="326"/>
      <c r="Y61" s="69"/>
    </row>
    <row r="62" spans="1:25" ht="27.75" hidden="1" customHeight="1">
      <c r="A62" s="65"/>
      <c r="B62" s="70"/>
      <c r="C62" s="71"/>
      <c r="D62" s="66"/>
      <c r="E62" s="68"/>
      <c r="F62" s="68"/>
      <c r="G62" s="68"/>
      <c r="H62" s="68"/>
      <c r="I62" s="68"/>
      <c r="J62" s="68"/>
      <c r="K62" s="68"/>
      <c r="L62" s="68"/>
      <c r="M62" s="68"/>
      <c r="N62" s="68"/>
      <c r="O62" s="68"/>
      <c r="P62" s="68"/>
      <c r="Q62" s="68"/>
      <c r="R62" s="68"/>
      <c r="S62" s="68"/>
      <c r="T62" s="68"/>
      <c r="U62" s="68"/>
      <c r="V62" s="68"/>
      <c r="W62" s="68"/>
      <c r="X62" s="68"/>
      <c r="Y62" s="69"/>
    </row>
    <row r="63" spans="1:25" ht="15" hidden="1">
      <c r="A63" s="65"/>
      <c r="B63" s="70"/>
      <c r="C63" s="71"/>
      <c r="D63" s="66"/>
      <c r="E63" s="68"/>
      <c r="F63" s="68"/>
      <c r="G63" s="68"/>
      <c r="H63" s="68"/>
      <c r="I63" s="68"/>
      <c r="J63" s="68"/>
      <c r="K63" s="68"/>
      <c r="L63" s="68"/>
      <c r="M63" s="68"/>
      <c r="N63" s="68"/>
      <c r="O63" s="68"/>
      <c r="P63" s="68"/>
      <c r="Q63" s="68"/>
      <c r="R63" s="68"/>
      <c r="S63" s="68"/>
      <c r="T63" s="68"/>
      <c r="U63" s="68"/>
      <c r="V63" s="68"/>
      <c r="W63" s="68"/>
      <c r="X63" s="68"/>
      <c r="Y63" s="69"/>
    </row>
    <row r="64" spans="1:25" ht="15" hidden="1">
      <c r="A64" s="65"/>
      <c r="B64" s="70"/>
      <c r="C64" s="71"/>
      <c r="D64" s="66"/>
      <c r="E64" s="68"/>
      <c r="F64" s="68"/>
      <c r="G64" s="68"/>
      <c r="H64" s="68"/>
      <c r="I64" s="68"/>
      <c r="J64" s="68"/>
      <c r="K64" s="68"/>
      <c r="L64" s="68"/>
      <c r="M64" s="68"/>
      <c r="N64" s="68"/>
      <c r="O64" s="68"/>
      <c r="P64" s="68"/>
      <c r="Q64" s="68"/>
      <c r="R64" s="68"/>
      <c r="S64" s="68"/>
      <c r="T64" s="68"/>
      <c r="U64" s="68"/>
      <c r="V64" s="68"/>
      <c r="W64" s="68"/>
      <c r="X64" s="68"/>
      <c r="Y64" s="69"/>
    </row>
    <row r="65" spans="1:25" ht="15" hidden="1">
      <c r="A65" s="65"/>
      <c r="B65" s="70"/>
      <c r="C65" s="71"/>
      <c r="D65" s="66"/>
      <c r="E65" s="68"/>
      <c r="F65" s="68"/>
      <c r="G65" s="68"/>
      <c r="H65" s="68"/>
      <c r="I65" s="68"/>
      <c r="J65" s="68"/>
      <c r="K65" s="68"/>
      <c r="L65" s="68"/>
      <c r="M65" s="68"/>
      <c r="N65" s="68"/>
      <c r="O65" s="68"/>
      <c r="P65" s="68"/>
      <c r="Q65" s="68"/>
      <c r="R65" s="68"/>
      <c r="S65" s="68"/>
      <c r="T65" s="68"/>
      <c r="U65" s="68"/>
      <c r="V65" s="68"/>
      <c r="W65" s="68"/>
      <c r="X65" s="68"/>
      <c r="Y65" s="69"/>
    </row>
    <row r="66" spans="1:25" ht="15" hidden="1">
      <c r="A66" s="65"/>
      <c r="B66" s="70"/>
      <c r="C66" s="71"/>
      <c r="D66" s="66"/>
      <c r="E66" s="68"/>
      <c r="F66" s="68"/>
      <c r="G66" s="68"/>
      <c r="H66" s="68"/>
      <c r="I66" s="68"/>
      <c r="J66" s="68"/>
      <c r="K66" s="68"/>
      <c r="L66" s="68"/>
      <c r="M66" s="68"/>
      <c r="N66" s="68"/>
      <c r="O66" s="68"/>
      <c r="P66" s="68"/>
      <c r="Q66" s="68"/>
      <c r="R66" s="68"/>
      <c r="S66" s="68"/>
      <c r="T66" s="68"/>
      <c r="U66" s="68"/>
      <c r="V66" s="68"/>
      <c r="W66" s="68"/>
      <c r="X66" s="68"/>
      <c r="Y66" s="69"/>
    </row>
    <row r="67" spans="1:25" ht="15" hidden="1">
      <c r="A67" s="65"/>
      <c r="B67" s="70"/>
      <c r="C67" s="71"/>
      <c r="D67" s="66"/>
      <c r="E67" s="68"/>
      <c r="F67" s="68"/>
      <c r="G67" s="68"/>
      <c r="H67" s="68"/>
      <c r="I67" s="68"/>
      <c r="J67" s="68"/>
      <c r="K67" s="68"/>
      <c r="L67" s="68"/>
      <c r="M67" s="68"/>
      <c r="N67" s="68"/>
      <c r="O67" s="68"/>
      <c r="P67" s="68"/>
      <c r="Q67" s="68"/>
      <c r="R67" s="68"/>
      <c r="S67" s="68"/>
      <c r="T67" s="68"/>
      <c r="U67" s="68"/>
      <c r="V67" s="68"/>
      <c r="W67" s="68"/>
      <c r="X67" s="68"/>
      <c r="Y67" s="69"/>
    </row>
    <row r="68" spans="1:25" ht="89.25" hidden="1" customHeight="1">
      <c r="A68" s="65"/>
      <c r="B68" s="70"/>
      <c r="C68" s="71"/>
      <c r="D68" s="73"/>
      <c r="E68" s="74"/>
      <c r="F68" s="74"/>
      <c r="G68" s="74"/>
      <c r="H68" s="74"/>
      <c r="I68" s="74"/>
      <c r="J68" s="74"/>
      <c r="K68" s="74"/>
      <c r="L68" s="74"/>
      <c r="M68" s="74"/>
      <c r="N68" s="74"/>
      <c r="O68" s="74"/>
      <c r="P68" s="74"/>
      <c r="Q68" s="74"/>
      <c r="R68" s="74"/>
      <c r="S68" s="74"/>
      <c r="T68" s="74"/>
      <c r="U68" s="74"/>
      <c r="V68" s="74"/>
      <c r="W68" s="74"/>
      <c r="X68" s="74"/>
      <c r="Y68" s="69"/>
    </row>
    <row r="69" spans="1:25" ht="15" hidden="1">
      <c r="A69" s="65"/>
      <c r="B69" s="70"/>
      <c r="C69" s="71"/>
      <c r="D69" s="73"/>
      <c r="E69" s="74"/>
      <c r="F69" s="74"/>
      <c r="G69" s="74"/>
      <c r="H69" s="74"/>
      <c r="I69" s="74"/>
      <c r="J69" s="74"/>
      <c r="K69" s="74"/>
      <c r="L69" s="74"/>
      <c r="M69" s="74"/>
      <c r="N69" s="74"/>
      <c r="O69" s="74"/>
      <c r="P69" s="74"/>
      <c r="Q69" s="74"/>
      <c r="R69" s="74"/>
      <c r="S69" s="74"/>
      <c r="T69" s="74"/>
      <c r="U69" s="74"/>
      <c r="V69" s="74"/>
      <c r="W69" s="74"/>
      <c r="X69" s="74"/>
      <c r="Y69" s="69"/>
    </row>
    <row r="70" spans="1:25" ht="15" hidden="1" customHeight="1">
      <c r="A70" s="65"/>
      <c r="B70" s="70"/>
      <c r="C70" s="71"/>
      <c r="D70" s="66"/>
      <c r="E70" s="330" t="s">
        <v>349</v>
      </c>
      <c r="F70" s="330"/>
      <c r="G70" s="330"/>
      <c r="H70" s="330"/>
      <c r="I70" s="330"/>
      <c r="J70" s="330"/>
      <c r="K70" s="330"/>
      <c r="L70" s="330"/>
      <c r="M70" s="330"/>
      <c r="N70" s="330"/>
      <c r="O70" s="330"/>
      <c r="P70" s="330"/>
      <c r="Q70" s="330"/>
      <c r="R70" s="330"/>
      <c r="S70" s="83"/>
      <c r="T70" s="83"/>
      <c r="U70" s="83"/>
      <c r="V70" s="83"/>
      <c r="W70" s="83"/>
      <c r="X70" s="83"/>
      <c r="Y70" s="69"/>
    </row>
    <row r="71" spans="1:25" ht="15" hidden="1" customHeight="1">
      <c r="A71" s="65"/>
      <c r="B71" s="70"/>
      <c r="C71" s="71"/>
      <c r="D71" s="66"/>
      <c r="E71" s="351" t="s">
        <v>347</v>
      </c>
      <c r="F71" s="351"/>
      <c r="G71" s="351"/>
      <c r="H71" s="351"/>
      <c r="I71" s="351"/>
      <c r="J71" s="351"/>
      <c r="K71" s="351"/>
      <c r="L71" s="351"/>
      <c r="M71" s="351"/>
      <c r="N71" s="351"/>
      <c r="O71" s="351"/>
      <c r="P71" s="351"/>
      <c r="Q71" s="351"/>
      <c r="R71" s="351"/>
      <c r="S71" s="351"/>
      <c r="T71" s="351"/>
      <c r="U71" s="351"/>
      <c r="V71" s="351"/>
      <c r="W71" s="351"/>
      <c r="X71" s="351"/>
      <c r="Y71" s="69"/>
    </row>
    <row r="72" spans="1:25" ht="15" hidden="1" customHeight="1">
      <c r="A72" s="65"/>
      <c r="B72" s="70"/>
      <c r="C72" s="71"/>
      <c r="D72" s="66"/>
      <c r="E72" s="330"/>
      <c r="F72" s="330"/>
      <c r="G72" s="330"/>
      <c r="H72" s="330"/>
      <c r="I72" s="330"/>
      <c r="J72" s="330"/>
      <c r="K72" s="330"/>
      <c r="L72" s="330"/>
      <c r="M72" s="330"/>
      <c r="N72" s="330"/>
      <c r="O72" s="330"/>
      <c r="P72" s="330"/>
      <c r="Q72" s="330"/>
      <c r="R72" s="330"/>
      <c r="S72" s="330"/>
      <c r="T72" s="330"/>
      <c r="U72" s="330"/>
      <c r="V72" s="330"/>
      <c r="W72" s="330"/>
      <c r="X72" s="330"/>
      <c r="Y72" s="69"/>
    </row>
    <row r="73" spans="1:25" ht="15" hidden="1" customHeight="1">
      <c r="A73" s="65"/>
      <c r="B73" s="70"/>
      <c r="C73" s="71"/>
      <c r="D73" s="66"/>
      <c r="E73" s="330" t="s">
        <v>348</v>
      </c>
      <c r="F73" s="330"/>
      <c r="G73" s="330"/>
      <c r="H73" s="330"/>
      <c r="I73" s="330"/>
      <c r="J73" s="330"/>
      <c r="K73" s="330"/>
      <c r="L73" s="330"/>
      <c r="M73" s="330"/>
      <c r="N73" s="330"/>
      <c r="O73" s="330"/>
      <c r="P73" s="330"/>
      <c r="Q73" s="330"/>
      <c r="R73" s="330"/>
      <c r="S73" s="330"/>
      <c r="T73" s="330"/>
      <c r="U73" s="330"/>
      <c r="V73" s="330"/>
      <c r="W73" s="330"/>
      <c r="X73" s="330"/>
      <c r="Y73" s="69"/>
    </row>
    <row r="74" spans="1:25" ht="15" hidden="1" customHeight="1">
      <c r="A74" s="65"/>
      <c r="B74" s="70"/>
      <c r="C74" s="71"/>
      <c r="D74" s="66"/>
      <c r="E74" s="351" t="s">
        <v>264</v>
      </c>
      <c r="F74" s="351"/>
      <c r="G74" s="351"/>
      <c r="H74" s="351"/>
      <c r="I74" s="351"/>
      <c r="J74" s="351"/>
      <c r="K74" s="351"/>
      <c r="L74" s="351"/>
      <c r="M74" s="351"/>
      <c r="N74" s="351"/>
      <c r="O74" s="351"/>
      <c r="P74" s="351"/>
      <c r="Q74" s="351"/>
      <c r="R74" s="351"/>
      <c r="S74" s="351"/>
      <c r="T74" s="351"/>
      <c r="U74" s="351"/>
      <c r="V74" s="351"/>
      <c r="W74" s="351"/>
      <c r="X74" s="351"/>
      <c r="Y74" s="69"/>
    </row>
    <row r="75" spans="1:25" ht="15" hidden="1">
      <c r="A75" s="65"/>
      <c r="B75" s="70"/>
      <c r="C75" s="71"/>
      <c r="D75" s="66"/>
      <c r="E75" s="84"/>
      <c r="F75" s="84"/>
      <c r="G75" s="84"/>
      <c r="H75" s="84"/>
      <c r="I75" s="84"/>
      <c r="J75" s="84"/>
      <c r="K75" s="84"/>
      <c r="L75" s="84"/>
      <c r="M75" s="84"/>
      <c r="N75" s="84"/>
      <c r="O75" s="84"/>
      <c r="P75" s="84"/>
      <c r="Q75" s="84"/>
      <c r="R75" s="84"/>
      <c r="S75" s="84"/>
      <c r="T75" s="84"/>
      <c r="U75" s="84"/>
      <c r="V75" s="84"/>
      <c r="W75" s="84"/>
      <c r="X75" s="84"/>
      <c r="Y75" s="69"/>
    </row>
    <row r="76" spans="1:25" ht="15" hidden="1">
      <c r="A76" s="65"/>
      <c r="B76" s="70"/>
      <c r="C76" s="71"/>
      <c r="D76" s="66"/>
      <c r="E76" s="84"/>
      <c r="F76" s="84"/>
      <c r="G76" s="84"/>
      <c r="H76" s="84"/>
      <c r="I76" s="84"/>
      <c r="J76" s="84"/>
      <c r="K76" s="84"/>
      <c r="L76" s="84"/>
      <c r="M76" s="84"/>
      <c r="N76" s="84"/>
      <c r="O76" s="84"/>
      <c r="P76" s="84"/>
      <c r="Q76" s="84"/>
      <c r="R76" s="84"/>
      <c r="S76" s="84"/>
      <c r="T76" s="84"/>
      <c r="U76" s="84"/>
      <c r="V76" s="84"/>
      <c r="W76" s="84"/>
      <c r="X76" s="84"/>
      <c r="Y76" s="69"/>
    </row>
    <row r="77" spans="1:25" ht="15" hidden="1">
      <c r="A77" s="65"/>
      <c r="B77" s="70"/>
      <c r="C77" s="71"/>
      <c r="D77" s="66"/>
      <c r="E77" s="84"/>
      <c r="F77" s="84"/>
      <c r="G77" s="84"/>
      <c r="H77" s="84"/>
      <c r="I77" s="84"/>
      <c r="J77" s="84"/>
      <c r="K77" s="84"/>
      <c r="L77" s="84"/>
      <c r="M77" s="84"/>
      <c r="N77" s="84"/>
      <c r="O77" s="84"/>
      <c r="P77" s="84"/>
      <c r="Q77" s="84"/>
      <c r="R77" s="84"/>
      <c r="S77" s="84"/>
      <c r="T77" s="84"/>
      <c r="U77" s="84"/>
      <c r="V77" s="84"/>
      <c r="W77" s="84"/>
      <c r="X77" s="84"/>
      <c r="Y77" s="69"/>
    </row>
    <row r="78" spans="1:25" ht="48.75" hidden="1" customHeight="1">
      <c r="A78" s="65"/>
      <c r="B78" s="70"/>
      <c r="C78" s="71"/>
      <c r="D78" s="66"/>
      <c r="E78" s="84"/>
      <c r="F78" s="84"/>
      <c r="G78" s="84"/>
      <c r="H78" s="84"/>
      <c r="I78" s="84"/>
      <c r="J78" s="84"/>
      <c r="K78" s="84"/>
      <c r="L78" s="84"/>
      <c r="M78" s="84"/>
      <c r="N78" s="84"/>
      <c r="O78" s="84"/>
      <c r="P78" s="84"/>
      <c r="Q78" s="84"/>
      <c r="R78" s="84"/>
      <c r="S78" s="84"/>
      <c r="T78" s="84"/>
      <c r="U78" s="84"/>
      <c r="V78" s="84"/>
      <c r="W78" s="84"/>
      <c r="X78" s="84"/>
      <c r="Y78" s="69"/>
    </row>
    <row r="79" spans="1:25" ht="42" hidden="1" customHeight="1">
      <c r="A79" s="65"/>
      <c r="B79" s="70"/>
      <c r="C79" s="71"/>
      <c r="D79" s="66"/>
      <c r="E79" s="84"/>
      <c r="F79" s="84"/>
      <c r="G79" s="84"/>
      <c r="H79" s="84"/>
      <c r="I79" s="84"/>
      <c r="J79" s="84"/>
      <c r="K79" s="84"/>
      <c r="L79" s="84"/>
      <c r="M79" s="84"/>
      <c r="N79" s="84"/>
      <c r="O79" s="84"/>
      <c r="P79" s="84"/>
      <c r="Q79" s="84"/>
      <c r="R79" s="84"/>
      <c r="S79" s="84"/>
      <c r="T79" s="84"/>
      <c r="U79" s="84"/>
      <c r="V79" s="84"/>
      <c r="W79" s="84"/>
      <c r="X79" s="84"/>
      <c r="Y79" s="69"/>
    </row>
    <row r="80" spans="1:25" ht="30" hidden="1" customHeight="1">
      <c r="A80" s="65"/>
      <c r="B80" s="70"/>
      <c r="C80" s="71"/>
      <c r="D80" s="66"/>
      <c r="E80" s="84"/>
      <c r="F80" s="84"/>
      <c r="G80" s="84"/>
      <c r="H80" s="84"/>
      <c r="I80" s="84"/>
      <c r="J80" s="84"/>
      <c r="K80" s="84"/>
      <c r="L80" s="84"/>
      <c r="M80" s="84"/>
      <c r="N80" s="84"/>
      <c r="O80" s="84"/>
      <c r="P80" s="84"/>
      <c r="Q80" s="84"/>
      <c r="R80" s="84"/>
      <c r="S80" s="84"/>
      <c r="T80" s="84"/>
      <c r="U80" s="84"/>
      <c r="V80" s="84"/>
      <c r="W80" s="84"/>
      <c r="X80" s="84"/>
      <c r="Y80" s="69"/>
    </row>
    <row r="81" spans="1:25" ht="15" hidden="1">
      <c r="A81" s="65"/>
      <c r="B81" s="70"/>
      <c r="C81" s="71"/>
      <c r="D81" s="66"/>
      <c r="E81" s="327"/>
      <c r="F81" s="327"/>
      <c r="G81" s="327"/>
      <c r="H81" s="327"/>
      <c r="I81" s="327"/>
      <c r="J81" s="327"/>
      <c r="K81" s="327"/>
      <c r="L81" s="327"/>
      <c r="M81" s="327"/>
      <c r="N81" s="327"/>
      <c r="O81" s="327"/>
      <c r="P81" s="327"/>
      <c r="Q81" s="327"/>
      <c r="R81" s="327"/>
      <c r="S81" s="327"/>
      <c r="T81" s="327"/>
      <c r="U81" s="327"/>
      <c r="V81" s="327"/>
      <c r="W81" s="327"/>
      <c r="X81" s="327"/>
      <c r="Y81" s="69"/>
    </row>
    <row r="82" spans="1:25" ht="11.25" hidden="1" customHeight="1">
      <c r="A82" s="65"/>
      <c r="B82" s="70"/>
      <c r="C82" s="71"/>
      <c r="D82" s="66"/>
      <c r="E82" s="349"/>
      <c r="F82" s="349"/>
      <c r="G82" s="349"/>
      <c r="H82" s="349"/>
      <c r="I82" s="349"/>
      <c r="J82" s="349"/>
      <c r="K82" s="349"/>
      <c r="L82" s="349"/>
      <c r="M82" s="349"/>
      <c r="N82" s="349"/>
      <c r="O82" s="349"/>
      <c r="P82" s="349"/>
      <c r="Q82" s="349"/>
      <c r="R82" s="349"/>
      <c r="S82" s="349"/>
      <c r="T82" s="349"/>
      <c r="U82" s="349"/>
      <c r="V82" s="349"/>
      <c r="W82" s="349"/>
      <c r="X82" s="349"/>
      <c r="Y82" s="69"/>
    </row>
    <row r="83" spans="1:25" ht="15" hidden="1">
      <c r="A83" s="65"/>
      <c r="B83" s="70"/>
      <c r="C83" s="71"/>
      <c r="D83" s="66"/>
      <c r="E83" s="326"/>
      <c r="F83" s="326"/>
      <c r="G83" s="326"/>
      <c r="H83" s="347"/>
      <c r="I83" s="348"/>
      <c r="J83" s="348"/>
      <c r="K83" s="348"/>
      <c r="L83" s="348"/>
      <c r="M83" s="348"/>
      <c r="N83" s="348"/>
      <c r="O83" s="348"/>
      <c r="P83" s="348"/>
      <c r="Q83" s="348"/>
      <c r="R83" s="348"/>
      <c r="S83" s="348"/>
      <c r="T83" s="348"/>
      <c r="U83" s="348"/>
      <c r="V83" s="348"/>
      <c r="W83" s="348"/>
      <c r="X83" s="348"/>
      <c r="Y83" s="69"/>
    </row>
    <row r="84" spans="1:25" ht="15" hidden="1" customHeight="1">
      <c r="A84" s="65"/>
      <c r="B84" s="70"/>
      <c r="C84" s="71"/>
      <c r="D84" s="66"/>
      <c r="E84" s="331" t="s">
        <v>261</v>
      </c>
      <c r="F84" s="331"/>
      <c r="G84" s="331"/>
      <c r="H84" s="331"/>
      <c r="I84" s="331"/>
      <c r="J84" s="331"/>
      <c r="K84" s="350" t="s">
        <v>262</v>
      </c>
      <c r="L84" s="350"/>
      <c r="M84" s="350"/>
      <c r="N84" s="350"/>
      <c r="O84" s="350"/>
      <c r="P84" s="350"/>
      <c r="Q84" s="350"/>
      <c r="R84" s="350"/>
      <c r="S84" s="350"/>
      <c r="T84" s="350"/>
      <c r="U84" s="350"/>
      <c r="V84" s="350"/>
      <c r="W84" s="350"/>
      <c r="X84" s="350"/>
      <c r="Y84" s="69"/>
    </row>
    <row r="85" spans="1:25" ht="15" hidden="1" customHeight="1">
      <c r="A85" s="65"/>
      <c r="B85" s="70"/>
      <c r="C85" s="71"/>
      <c r="D85" s="66"/>
      <c r="E85" s="340"/>
      <c r="F85" s="340"/>
      <c r="G85" s="340"/>
      <c r="H85" s="340"/>
      <c r="I85" s="340"/>
      <c r="J85" s="340"/>
      <c r="K85" s="340"/>
      <c r="L85" s="340"/>
      <c r="M85" s="340"/>
      <c r="N85" s="340"/>
      <c r="O85" s="340"/>
      <c r="P85" s="340"/>
      <c r="Q85" s="340"/>
      <c r="R85" s="340"/>
      <c r="S85" s="340"/>
      <c r="T85" s="340"/>
      <c r="U85" s="340"/>
      <c r="V85" s="340"/>
      <c r="W85" s="340"/>
      <c r="X85" s="340"/>
      <c r="Y85" s="69"/>
    </row>
    <row r="86" spans="1:25" ht="15" hidden="1" customHeight="1">
      <c r="A86" s="65"/>
      <c r="B86" s="70"/>
      <c r="C86" s="71"/>
      <c r="D86" s="66"/>
      <c r="E86" s="340" t="s">
        <v>263</v>
      </c>
      <c r="F86" s="340"/>
      <c r="G86" s="340"/>
      <c r="H86" s="340"/>
      <c r="I86" s="340"/>
      <c r="J86" s="340"/>
      <c r="K86" s="340"/>
      <c r="L86" s="340"/>
      <c r="M86" s="340"/>
      <c r="N86" s="340"/>
      <c r="O86" s="340"/>
      <c r="P86" s="340"/>
      <c r="Q86" s="340"/>
      <c r="R86" s="340"/>
      <c r="S86" s="340"/>
      <c r="T86" s="340"/>
      <c r="U86" s="340"/>
      <c r="V86" s="340"/>
      <c r="W86" s="340"/>
      <c r="X86" s="340"/>
      <c r="Y86" s="69"/>
    </row>
    <row r="87" spans="1:25" ht="15" hidden="1" customHeight="1">
      <c r="A87" s="65"/>
      <c r="B87" s="70"/>
      <c r="C87" s="71"/>
      <c r="D87" s="66"/>
      <c r="E87" s="331" t="s">
        <v>176</v>
      </c>
      <c r="F87" s="331"/>
      <c r="G87" s="331"/>
      <c r="H87" s="331"/>
      <c r="I87" s="331"/>
      <c r="J87" s="331"/>
      <c r="K87" s="357" t="s">
        <v>391</v>
      </c>
      <c r="L87" s="357"/>
      <c r="M87" s="357"/>
      <c r="N87" s="357"/>
      <c r="O87" s="357"/>
      <c r="P87" s="357"/>
      <c r="Q87" s="357"/>
      <c r="R87" s="357"/>
      <c r="S87" s="357"/>
      <c r="T87" s="357"/>
      <c r="U87" s="357"/>
      <c r="V87" s="357"/>
      <c r="W87" s="357"/>
      <c r="X87" s="357"/>
      <c r="Y87" s="69"/>
    </row>
    <row r="88" spans="1:25" ht="15" hidden="1">
      <c r="A88" s="65"/>
      <c r="B88" s="70"/>
      <c r="C88" s="71"/>
      <c r="D88" s="66"/>
      <c r="E88" s="331" t="s">
        <v>28</v>
      </c>
      <c r="F88" s="331"/>
      <c r="G88" s="331"/>
      <c r="H88" s="331"/>
      <c r="I88" s="331"/>
      <c r="J88" s="331"/>
      <c r="K88" s="358" t="s">
        <v>392</v>
      </c>
      <c r="L88" s="358"/>
      <c r="M88" s="358"/>
      <c r="N88" s="358"/>
      <c r="O88" s="358"/>
      <c r="P88" s="358"/>
      <c r="Q88" s="358"/>
      <c r="R88" s="358"/>
      <c r="S88" s="358"/>
      <c r="T88" s="358"/>
      <c r="U88" s="358"/>
      <c r="V88" s="358"/>
      <c r="W88" s="358"/>
      <c r="X88" s="358"/>
      <c r="Y88" s="69"/>
    </row>
    <row r="89" spans="1:25" ht="15" hidden="1">
      <c r="A89" s="65"/>
      <c r="B89" s="70"/>
      <c r="C89" s="71"/>
      <c r="D89" s="66"/>
      <c r="E89" s="326"/>
      <c r="F89" s="326"/>
      <c r="G89" s="326"/>
      <c r="H89" s="356"/>
      <c r="I89" s="329"/>
      <c r="J89" s="329"/>
      <c r="K89" s="329"/>
      <c r="L89" s="329"/>
      <c r="M89" s="329"/>
      <c r="N89" s="329"/>
      <c r="O89" s="329"/>
      <c r="P89" s="329"/>
      <c r="Q89" s="329"/>
      <c r="R89" s="329"/>
      <c r="S89" s="329"/>
      <c r="T89" s="329"/>
      <c r="U89" s="329"/>
      <c r="V89" s="329"/>
      <c r="W89" s="329"/>
      <c r="X89" s="329"/>
      <c r="Y89" s="69"/>
    </row>
    <row r="90" spans="1:25" ht="15" hidden="1" customHeight="1">
      <c r="A90" s="65"/>
      <c r="B90" s="70"/>
      <c r="C90" s="71"/>
      <c r="D90" s="66"/>
      <c r="E90" s="331" t="s">
        <v>176</v>
      </c>
      <c r="F90" s="331"/>
      <c r="G90" s="331"/>
      <c r="H90" s="331"/>
      <c r="I90" s="331"/>
      <c r="J90" s="331"/>
      <c r="K90" s="357" t="s">
        <v>393</v>
      </c>
      <c r="L90" s="357"/>
      <c r="M90" s="357"/>
      <c r="N90" s="357"/>
      <c r="O90" s="357"/>
      <c r="P90" s="357"/>
      <c r="Q90" s="357"/>
      <c r="R90" s="357"/>
      <c r="S90" s="357"/>
      <c r="T90" s="357"/>
      <c r="U90" s="357"/>
      <c r="V90" s="357"/>
      <c r="W90" s="357"/>
      <c r="X90" s="357"/>
      <c r="Y90" s="69"/>
    </row>
    <row r="91" spans="1:25" ht="15" hidden="1">
      <c r="A91" s="65"/>
      <c r="B91" s="70"/>
      <c r="C91" s="71"/>
      <c r="D91" s="66"/>
      <c r="E91" s="331" t="s">
        <v>28</v>
      </c>
      <c r="F91" s="331"/>
      <c r="G91" s="331"/>
      <c r="H91" s="331"/>
      <c r="I91" s="331"/>
      <c r="J91" s="331"/>
      <c r="K91" s="359" t="s">
        <v>394</v>
      </c>
      <c r="L91" s="359"/>
      <c r="M91" s="359"/>
      <c r="N91" s="359"/>
      <c r="O91" s="359"/>
      <c r="P91" s="359"/>
      <c r="Q91" s="359"/>
      <c r="R91" s="359"/>
      <c r="S91" s="359"/>
      <c r="T91" s="359"/>
      <c r="U91" s="359"/>
      <c r="V91" s="359"/>
      <c r="W91" s="359"/>
      <c r="X91" s="359"/>
      <c r="Y91" s="69"/>
    </row>
    <row r="92" spans="1:25" ht="15" hidden="1">
      <c r="A92" s="65"/>
      <c r="B92" s="70"/>
      <c r="C92" s="71"/>
      <c r="D92" s="66"/>
      <c r="E92" s="326"/>
      <c r="F92" s="326"/>
      <c r="G92" s="326"/>
      <c r="H92" s="332"/>
      <c r="I92" s="329"/>
      <c r="J92" s="329"/>
      <c r="K92" s="329"/>
      <c r="L92" s="329"/>
      <c r="M92" s="329"/>
      <c r="N92" s="329"/>
      <c r="O92" s="329"/>
      <c r="P92" s="329"/>
      <c r="Q92" s="329"/>
      <c r="R92" s="329"/>
      <c r="S92" s="329"/>
      <c r="T92" s="329"/>
      <c r="U92" s="329"/>
      <c r="V92" s="329"/>
      <c r="W92" s="329"/>
      <c r="X92" s="329"/>
      <c r="Y92" s="69"/>
    </row>
    <row r="93" spans="1:25" ht="15" hidden="1">
      <c r="A93" s="65"/>
      <c r="B93" s="70"/>
      <c r="C93" s="71"/>
      <c r="D93" s="66"/>
      <c r="E93" s="326"/>
      <c r="F93" s="326"/>
      <c r="G93" s="326"/>
      <c r="H93" s="329"/>
      <c r="I93" s="329"/>
      <c r="J93" s="329"/>
      <c r="K93" s="329"/>
      <c r="L93" s="329"/>
      <c r="M93" s="329"/>
      <c r="N93" s="329"/>
      <c r="O93" s="329"/>
      <c r="P93" s="329"/>
      <c r="Q93" s="329"/>
      <c r="R93" s="329"/>
      <c r="S93" s="329"/>
      <c r="T93" s="329"/>
      <c r="U93" s="329"/>
      <c r="V93" s="329"/>
      <c r="W93" s="329"/>
      <c r="X93" s="329"/>
      <c r="Y93" s="69"/>
    </row>
    <row r="94" spans="1:25" ht="15" hidden="1">
      <c r="A94" s="65"/>
      <c r="B94" s="70"/>
      <c r="C94" s="71"/>
      <c r="D94" s="66"/>
      <c r="E94" s="355"/>
      <c r="F94" s="355"/>
      <c r="G94" s="85"/>
      <c r="H94" s="328"/>
      <c r="I94" s="328"/>
      <c r="J94" s="328"/>
      <c r="K94" s="328"/>
      <c r="L94" s="328"/>
      <c r="M94" s="328"/>
      <c r="N94" s="328"/>
      <c r="O94" s="328"/>
      <c r="P94" s="328"/>
      <c r="Q94" s="328"/>
      <c r="R94" s="328"/>
      <c r="S94" s="328"/>
      <c r="T94" s="328"/>
      <c r="U94" s="328"/>
      <c r="V94" s="328"/>
      <c r="W94" s="328"/>
      <c r="X94" s="328"/>
      <c r="Y94" s="69"/>
    </row>
    <row r="95" spans="1:25" ht="15" hidden="1">
      <c r="A95" s="65"/>
      <c r="B95" s="70"/>
      <c r="C95" s="71"/>
      <c r="D95" s="66"/>
      <c r="E95" s="326"/>
      <c r="F95" s="326"/>
      <c r="G95" s="326"/>
      <c r="H95" s="332"/>
      <c r="I95" s="329"/>
      <c r="J95" s="329"/>
      <c r="K95" s="329"/>
      <c r="L95" s="329"/>
      <c r="M95" s="329"/>
      <c r="N95" s="329"/>
      <c r="O95" s="329"/>
      <c r="P95" s="329"/>
      <c r="Q95" s="329"/>
      <c r="R95" s="329"/>
      <c r="S95" s="329"/>
      <c r="T95" s="329"/>
      <c r="U95" s="329"/>
      <c r="V95" s="329"/>
      <c r="W95" s="329"/>
      <c r="X95" s="329"/>
      <c r="Y95" s="69"/>
    </row>
    <row r="96" spans="1:25" ht="15" hidden="1">
      <c r="A96" s="65"/>
      <c r="B96" s="70"/>
      <c r="C96" s="71"/>
      <c r="D96" s="66"/>
      <c r="E96" s="68"/>
      <c r="F96" s="68"/>
      <c r="G96" s="68"/>
      <c r="H96" s="68"/>
      <c r="I96" s="68"/>
      <c r="J96" s="68"/>
      <c r="K96" s="68"/>
      <c r="L96" s="68"/>
      <c r="M96" s="68"/>
      <c r="N96" s="68"/>
      <c r="O96" s="68"/>
      <c r="P96" s="68"/>
      <c r="Q96" s="68"/>
      <c r="R96" s="68"/>
      <c r="S96" s="68"/>
      <c r="T96" s="68"/>
      <c r="U96" s="68"/>
      <c r="V96" s="68"/>
      <c r="W96" s="68"/>
      <c r="X96" s="68"/>
      <c r="Y96" s="69"/>
    </row>
    <row r="97" spans="1:27" ht="15" hidden="1">
      <c r="A97" s="65"/>
      <c r="B97" s="70"/>
      <c r="C97" s="71"/>
      <c r="D97" s="66"/>
      <c r="E97" s="68"/>
      <c r="F97" s="68"/>
      <c r="G97" s="68"/>
      <c r="H97" s="68"/>
      <c r="I97" s="68"/>
      <c r="J97" s="68"/>
      <c r="K97" s="68"/>
      <c r="L97" s="68"/>
      <c r="M97" s="68"/>
      <c r="N97" s="68"/>
      <c r="O97" s="68"/>
      <c r="P97" s="68"/>
      <c r="Q97" s="68"/>
      <c r="R97" s="68"/>
      <c r="S97" s="68"/>
      <c r="T97" s="68"/>
      <c r="U97" s="68"/>
      <c r="V97" s="68"/>
      <c r="W97" s="68"/>
      <c r="X97" s="68"/>
      <c r="Y97" s="69"/>
    </row>
    <row r="98" spans="1:27" ht="27" hidden="1" customHeight="1">
      <c r="A98" s="65"/>
      <c r="B98" s="70"/>
      <c r="C98" s="71"/>
      <c r="D98" s="73"/>
      <c r="E98" s="74"/>
      <c r="F98" s="74"/>
      <c r="G98" s="74"/>
      <c r="H98" s="74"/>
      <c r="I98" s="74"/>
      <c r="J98" s="74"/>
      <c r="K98" s="74"/>
      <c r="L98" s="74"/>
      <c r="M98" s="74"/>
      <c r="N98" s="74"/>
      <c r="O98" s="74"/>
      <c r="P98" s="74"/>
      <c r="Q98" s="74"/>
      <c r="R98" s="74"/>
      <c r="S98" s="74"/>
      <c r="T98" s="74"/>
      <c r="U98" s="74"/>
      <c r="V98" s="74"/>
      <c r="W98" s="74"/>
      <c r="X98" s="74"/>
      <c r="Y98" s="69"/>
    </row>
    <row r="99" spans="1:27" ht="15" hidden="1">
      <c r="A99" s="65"/>
      <c r="B99" s="70"/>
      <c r="C99" s="71"/>
      <c r="D99" s="73"/>
      <c r="E99" s="74"/>
      <c r="F99" s="74"/>
      <c r="G99" s="74"/>
      <c r="H99" s="74"/>
      <c r="I99" s="74"/>
      <c r="J99" s="74"/>
      <c r="K99" s="74"/>
      <c r="L99" s="74"/>
      <c r="M99" s="74"/>
      <c r="N99" s="74"/>
      <c r="O99" s="74"/>
      <c r="P99" s="74"/>
      <c r="Q99" s="74"/>
      <c r="R99" s="74"/>
      <c r="S99" s="74"/>
      <c r="T99" s="74"/>
      <c r="U99" s="74"/>
      <c r="V99" s="74"/>
      <c r="W99" s="74"/>
      <c r="X99" s="74"/>
      <c r="Y99" s="69"/>
    </row>
    <row r="100" spans="1:27" ht="25.5" hidden="1" customHeight="1">
      <c r="A100" s="65"/>
      <c r="B100" s="70"/>
      <c r="C100" s="71"/>
      <c r="D100" s="66"/>
      <c r="E100" s="333" t="s">
        <v>177</v>
      </c>
      <c r="F100" s="333"/>
      <c r="G100" s="333"/>
      <c r="H100" s="333"/>
      <c r="I100" s="333"/>
      <c r="J100" s="333"/>
      <c r="K100" s="333"/>
      <c r="L100" s="333"/>
      <c r="M100" s="333"/>
      <c r="N100" s="333"/>
      <c r="O100" s="333"/>
      <c r="P100" s="333"/>
      <c r="Q100" s="333"/>
      <c r="R100" s="333"/>
      <c r="S100" s="333"/>
      <c r="T100" s="333"/>
      <c r="U100" s="333"/>
      <c r="V100" s="333"/>
      <c r="W100" s="333"/>
      <c r="X100" s="333"/>
      <c r="Y100" s="69"/>
    </row>
    <row r="101" spans="1:27" ht="15" hidden="1" customHeight="1">
      <c r="A101" s="65"/>
      <c r="B101" s="70"/>
      <c r="C101" s="71"/>
      <c r="D101" s="66"/>
      <c r="E101" s="68"/>
      <c r="F101" s="68"/>
      <c r="G101" s="68"/>
      <c r="H101" s="86"/>
      <c r="I101" s="86"/>
      <c r="J101" s="86"/>
      <c r="K101" s="86"/>
      <c r="L101" s="86"/>
      <c r="M101" s="86"/>
      <c r="N101" s="86"/>
      <c r="O101" s="87"/>
      <c r="P101" s="87"/>
      <c r="Q101" s="87"/>
      <c r="R101" s="87"/>
      <c r="S101" s="87"/>
      <c r="T101" s="87"/>
      <c r="U101" s="68"/>
      <c r="V101" s="68"/>
      <c r="W101" s="68"/>
      <c r="X101" s="68"/>
      <c r="Y101" s="69"/>
    </row>
    <row r="102" spans="1:27" ht="15" hidden="1" customHeight="1">
      <c r="A102" s="65"/>
      <c r="B102" s="70"/>
      <c r="C102" s="71"/>
      <c r="D102" s="66"/>
      <c r="E102" s="88"/>
      <c r="F102" s="325" t="s">
        <v>178</v>
      </c>
      <c r="G102" s="325"/>
      <c r="H102" s="325"/>
      <c r="I102" s="325"/>
      <c r="J102" s="325"/>
      <c r="K102" s="325"/>
      <c r="L102" s="325"/>
      <c r="M102" s="325"/>
      <c r="N102" s="325"/>
      <c r="O102" s="325"/>
      <c r="P102" s="325"/>
      <c r="Q102" s="325"/>
      <c r="R102" s="325"/>
      <c r="S102" s="325"/>
      <c r="T102" s="87"/>
      <c r="U102" s="68"/>
      <c r="V102" s="68"/>
      <c r="W102" s="68"/>
      <c r="X102" s="68"/>
      <c r="Y102" s="69"/>
      <c r="AA102" s="59" t="s">
        <v>179</v>
      </c>
    </row>
    <row r="103" spans="1:27" ht="15" hidden="1" customHeight="1">
      <c r="A103" s="65"/>
      <c r="B103" s="70"/>
      <c r="C103" s="71"/>
      <c r="D103" s="66"/>
      <c r="E103" s="68"/>
      <c r="F103" s="68"/>
      <c r="G103" s="68"/>
      <c r="H103" s="86"/>
      <c r="I103" s="86"/>
      <c r="J103" s="86"/>
      <c r="K103" s="86"/>
      <c r="L103" s="86"/>
      <c r="M103" s="86"/>
      <c r="N103" s="86"/>
      <c r="O103" s="87"/>
      <c r="P103" s="87"/>
      <c r="Q103" s="87"/>
      <c r="R103" s="87"/>
      <c r="S103" s="87"/>
      <c r="T103" s="87"/>
      <c r="U103" s="68"/>
      <c r="V103" s="68"/>
      <c r="W103" s="68"/>
      <c r="X103" s="68"/>
      <c r="Y103" s="69"/>
    </row>
    <row r="104" spans="1:27" ht="15" hidden="1">
      <c r="A104" s="65"/>
      <c r="B104" s="70"/>
      <c r="C104" s="71"/>
      <c r="D104" s="66"/>
      <c r="E104" s="68"/>
      <c r="F104" s="325" t="s">
        <v>180</v>
      </c>
      <c r="G104" s="325"/>
      <c r="H104" s="325"/>
      <c r="I104" s="325"/>
      <c r="J104" s="325"/>
      <c r="K104" s="325"/>
      <c r="L104" s="325"/>
      <c r="M104" s="325"/>
      <c r="N104" s="325"/>
      <c r="O104" s="325"/>
      <c r="P104" s="325"/>
      <c r="Q104" s="325"/>
      <c r="R104" s="325"/>
      <c r="S104" s="325"/>
      <c r="T104" s="325"/>
      <c r="U104" s="325"/>
      <c r="V104" s="325"/>
      <c r="W104" s="325"/>
      <c r="X104" s="325"/>
      <c r="Y104" s="69"/>
    </row>
    <row r="105" spans="1:27" ht="15" hidden="1">
      <c r="A105" s="65"/>
      <c r="B105" s="70"/>
      <c r="C105" s="71"/>
      <c r="D105" s="66"/>
      <c r="E105" s="68"/>
      <c r="F105" s="68"/>
      <c r="G105" s="68"/>
      <c r="H105" s="68"/>
      <c r="I105" s="68"/>
      <c r="J105" s="68"/>
      <c r="K105" s="68"/>
      <c r="L105" s="68"/>
      <c r="M105" s="68"/>
      <c r="N105" s="68"/>
      <c r="O105" s="68"/>
      <c r="P105" s="68"/>
      <c r="Q105" s="68"/>
      <c r="R105" s="68"/>
      <c r="S105" s="68"/>
      <c r="T105" s="68"/>
      <c r="U105" s="68"/>
      <c r="V105" s="68"/>
      <c r="W105" s="68"/>
      <c r="X105" s="68"/>
      <c r="Y105" s="69"/>
    </row>
    <row r="106" spans="1:27" ht="15" hidden="1">
      <c r="A106" s="65"/>
      <c r="B106" s="70"/>
      <c r="C106" s="71"/>
      <c r="D106" s="66"/>
      <c r="E106" s="68"/>
      <c r="F106" s="68"/>
      <c r="G106" s="68"/>
      <c r="H106" s="68"/>
      <c r="I106" s="68"/>
      <c r="J106" s="68"/>
      <c r="K106" s="68"/>
      <c r="L106" s="68"/>
      <c r="M106" s="68"/>
      <c r="N106" s="68"/>
      <c r="O106" s="68"/>
      <c r="P106" s="68"/>
      <c r="Q106" s="68"/>
      <c r="R106" s="68"/>
      <c r="S106" s="68"/>
      <c r="T106" s="68"/>
      <c r="U106" s="68"/>
      <c r="V106" s="68"/>
      <c r="W106" s="68"/>
      <c r="X106" s="68"/>
      <c r="Y106" s="69"/>
    </row>
    <row r="107" spans="1:27" ht="15" hidden="1">
      <c r="A107" s="65"/>
      <c r="B107" s="70"/>
      <c r="C107" s="71"/>
      <c r="D107" s="66"/>
      <c r="E107" s="68"/>
      <c r="F107" s="68"/>
      <c r="G107" s="68"/>
      <c r="H107" s="68"/>
      <c r="I107" s="68"/>
      <c r="J107" s="68"/>
      <c r="K107" s="68"/>
      <c r="L107" s="68"/>
      <c r="M107" s="68"/>
      <c r="N107" s="68"/>
      <c r="O107" s="68"/>
      <c r="P107" s="68"/>
      <c r="Q107" s="68"/>
      <c r="R107" s="68"/>
      <c r="S107" s="68"/>
      <c r="T107" s="68"/>
      <c r="U107" s="68"/>
      <c r="V107" s="68"/>
      <c r="W107" s="68"/>
      <c r="X107" s="68"/>
      <c r="Y107" s="69"/>
    </row>
    <row r="108" spans="1:27" ht="15" hidden="1">
      <c r="A108" s="65"/>
      <c r="B108" s="70"/>
      <c r="C108" s="71"/>
      <c r="D108" s="66"/>
      <c r="E108" s="68"/>
      <c r="F108" s="68"/>
      <c r="G108" s="68"/>
      <c r="H108" s="68"/>
      <c r="I108" s="68"/>
      <c r="J108" s="68"/>
      <c r="K108" s="68"/>
      <c r="L108" s="68"/>
      <c r="M108" s="68"/>
      <c r="N108" s="68"/>
      <c r="O108" s="68"/>
      <c r="P108" s="68"/>
      <c r="Q108" s="68"/>
      <c r="R108" s="68"/>
      <c r="S108" s="68"/>
      <c r="T108" s="68"/>
      <c r="U108" s="68"/>
      <c r="V108" s="68"/>
      <c r="W108" s="68"/>
      <c r="X108" s="68"/>
      <c r="Y108" s="69"/>
    </row>
    <row r="109" spans="1:27" ht="15" hidden="1">
      <c r="A109" s="65"/>
      <c r="B109" s="70"/>
      <c r="C109" s="71"/>
      <c r="D109" s="66"/>
      <c r="E109" s="68"/>
      <c r="F109" s="68"/>
      <c r="G109" s="68"/>
      <c r="H109" s="68"/>
      <c r="I109" s="68"/>
      <c r="J109" s="68"/>
      <c r="K109" s="68"/>
      <c r="L109" s="68"/>
      <c r="M109" s="68"/>
      <c r="N109" s="68"/>
      <c r="O109" s="68"/>
      <c r="P109" s="68"/>
      <c r="Q109" s="68"/>
      <c r="R109" s="68"/>
      <c r="S109" s="68"/>
      <c r="T109" s="68"/>
      <c r="U109" s="68"/>
      <c r="V109" s="68"/>
      <c r="W109" s="68"/>
      <c r="X109" s="68"/>
      <c r="Y109" s="69"/>
    </row>
    <row r="110" spans="1:27" ht="15" hidden="1">
      <c r="A110" s="65"/>
      <c r="B110" s="70"/>
      <c r="C110" s="71"/>
      <c r="D110" s="66"/>
      <c r="E110" s="68"/>
      <c r="F110" s="68"/>
      <c r="G110" s="68"/>
      <c r="H110" s="68"/>
      <c r="I110" s="68"/>
      <c r="J110" s="68"/>
      <c r="K110" s="68"/>
      <c r="L110" s="68"/>
      <c r="M110" s="68"/>
      <c r="N110" s="68"/>
      <c r="O110" s="68"/>
      <c r="P110" s="68"/>
      <c r="Q110" s="68"/>
      <c r="R110" s="68"/>
      <c r="S110" s="68"/>
      <c r="T110" s="68"/>
      <c r="U110" s="68"/>
      <c r="V110" s="68"/>
      <c r="W110" s="68"/>
      <c r="X110" s="68"/>
      <c r="Y110" s="69"/>
    </row>
    <row r="111" spans="1:27" ht="15" hidden="1">
      <c r="A111" s="65"/>
      <c r="B111" s="70"/>
      <c r="C111" s="71"/>
      <c r="D111" s="66"/>
      <c r="E111" s="68"/>
      <c r="F111" s="68"/>
      <c r="G111" s="68"/>
      <c r="H111" s="68"/>
      <c r="I111" s="68"/>
      <c r="J111" s="68"/>
      <c r="K111" s="68"/>
      <c r="L111" s="68"/>
      <c r="M111" s="68"/>
      <c r="N111" s="68"/>
      <c r="O111" s="68"/>
      <c r="P111" s="68"/>
      <c r="Q111" s="68"/>
      <c r="R111" s="68"/>
      <c r="S111" s="68"/>
      <c r="T111" s="68"/>
      <c r="U111" s="68"/>
      <c r="V111" s="68"/>
      <c r="W111" s="68"/>
      <c r="X111" s="68"/>
      <c r="Y111" s="69"/>
    </row>
    <row r="112" spans="1:27" ht="15" hidden="1">
      <c r="A112" s="65"/>
      <c r="B112" s="70"/>
      <c r="C112" s="71"/>
      <c r="D112" s="66"/>
      <c r="E112" s="68"/>
      <c r="F112" s="68"/>
      <c r="G112" s="68"/>
      <c r="H112" s="68"/>
      <c r="I112" s="68"/>
      <c r="J112" s="68"/>
      <c r="K112" s="68"/>
      <c r="L112" s="68"/>
      <c r="M112" s="68"/>
      <c r="N112" s="68"/>
      <c r="O112" s="68"/>
      <c r="P112" s="68"/>
      <c r="Q112" s="68"/>
      <c r="R112" s="68"/>
      <c r="S112" s="68"/>
      <c r="T112" s="68"/>
      <c r="U112" s="68"/>
      <c r="V112" s="68"/>
      <c r="W112" s="68"/>
      <c r="X112" s="68"/>
      <c r="Y112" s="69"/>
    </row>
    <row r="113" spans="1:25" ht="30" hidden="1" customHeight="1">
      <c r="A113" s="65"/>
      <c r="B113" s="70"/>
      <c r="C113" s="71"/>
      <c r="D113" s="66"/>
      <c r="E113" s="68"/>
      <c r="F113" s="68"/>
      <c r="G113" s="68"/>
      <c r="H113" s="68"/>
      <c r="I113" s="68"/>
      <c r="J113" s="68"/>
      <c r="K113" s="68"/>
      <c r="L113" s="68"/>
      <c r="M113" s="68"/>
      <c r="N113" s="68"/>
      <c r="O113" s="68"/>
      <c r="P113" s="68"/>
      <c r="Q113" s="68"/>
      <c r="R113" s="68"/>
      <c r="S113" s="68"/>
      <c r="T113" s="68"/>
      <c r="U113" s="68"/>
      <c r="V113" s="68"/>
      <c r="W113" s="68"/>
      <c r="X113" s="68"/>
      <c r="Y113" s="69"/>
    </row>
    <row r="114" spans="1:25" ht="31.5" hidden="1" customHeight="1">
      <c r="A114" s="65"/>
      <c r="B114" s="70"/>
      <c r="C114" s="71"/>
      <c r="D114" s="66"/>
      <c r="E114" s="68"/>
      <c r="F114" s="68"/>
      <c r="G114" s="68"/>
      <c r="H114" s="68"/>
      <c r="I114" s="68"/>
      <c r="J114" s="68"/>
      <c r="K114" s="68"/>
      <c r="L114" s="68"/>
      <c r="M114" s="68"/>
      <c r="N114" s="68"/>
      <c r="O114" s="68"/>
      <c r="P114" s="68"/>
      <c r="Q114" s="68"/>
      <c r="R114" s="68"/>
      <c r="S114" s="68"/>
      <c r="T114" s="68"/>
      <c r="U114" s="68"/>
      <c r="V114" s="68"/>
      <c r="W114" s="68"/>
      <c r="X114" s="68"/>
      <c r="Y114" s="69"/>
    </row>
    <row r="115" spans="1:25" ht="15" customHeight="1">
      <c r="A115" s="65"/>
      <c r="B115" s="89"/>
      <c r="C115" s="90"/>
      <c r="D115" s="91"/>
      <c r="E115" s="92"/>
      <c r="F115" s="92"/>
      <c r="G115" s="92"/>
      <c r="H115" s="92"/>
      <c r="I115" s="92"/>
      <c r="J115" s="92"/>
      <c r="K115" s="92"/>
      <c r="L115" s="92"/>
      <c r="M115" s="92"/>
      <c r="N115" s="92"/>
      <c r="O115" s="92"/>
      <c r="P115" s="92"/>
      <c r="Q115" s="92"/>
      <c r="R115" s="92"/>
      <c r="S115" s="92"/>
      <c r="T115" s="92"/>
      <c r="U115" s="92"/>
      <c r="V115" s="92"/>
      <c r="W115" s="92"/>
      <c r="X115" s="92"/>
      <c r="Y115" s="93"/>
    </row>
    <row r="118" spans="1:25" ht="14.25" customHeight="1">
      <c r="L118" s="154"/>
      <c r="M118" s="154"/>
      <c r="N118" s="154"/>
      <c r="O118" s="154"/>
      <c r="P118" s="154"/>
      <c r="Q118" s="154"/>
      <c r="R118" s="154"/>
      <c r="S118" s="154"/>
      <c r="T118" s="154"/>
      <c r="U118" s="154"/>
      <c r="V118" s="154"/>
      <c r="W118" s="154"/>
      <c r="X118" s="154"/>
    </row>
  </sheetData>
  <sheetProtection password="FA9C" sheet="1" objects="1" scenarios="1" formatColumns="0" formatRows="0"/>
  <dataConsolidate leftLabels="1" link="1"/>
  <mergeCells count="54">
    <mergeCell ref="E94:F94"/>
    <mergeCell ref="H89:X89"/>
    <mergeCell ref="K87:X87"/>
    <mergeCell ref="E90:J90"/>
    <mergeCell ref="K90:X90"/>
    <mergeCell ref="E92:G92"/>
    <mergeCell ref="H92:X92"/>
    <mergeCell ref="K88:X88"/>
    <mergeCell ref="E89:G89"/>
    <mergeCell ref="K91:X91"/>
    <mergeCell ref="F21:M21"/>
    <mergeCell ref="P21:X21"/>
    <mergeCell ref="K59:X59"/>
    <mergeCell ref="F22:M22"/>
    <mergeCell ref="E41:X45"/>
    <mergeCell ref="E46:X57"/>
    <mergeCell ref="K58:X58"/>
    <mergeCell ref="E58:J58"/>
    <mergeCell ref="E85:X85"/>
    <mergeCell ref="E86:X86"/>
    <mergeCell ref="E59:J59"/>
    <mergeCell ref="P22:X22"/>
    <mergeCell ref="E35:X39"/>
    <mergeCell ref="E40:X40"/>
    <mergeCell ref="E60:G60"/>
    <mergeCell ref="H60:X60"/>
    <mergeCell ref="H83:X83"/>
    <mergeCell ref="E82:X82"/>
    <mergeCell ref="K84:X84"/>
    <mergeCell ref="E71:X71"/>
    <mergeCell ref="E72:X72"/>
    <mergeCell ref="E73:X73"/>
    <mergeCell ref="E74:X74"/>
    <mergeCell ref="B2:G2"/>
    <mergeCell ref="B3:C3"/>
    <mergeCell ref="B5:Y5"/>
    <mergeCell ref="E7:X13"/>
    <mergeCell ref="E14:X19"/>
    <mergeCell ref="F104:X104"/>
    <mergeCell ref="H61:X61"/>
    <mergeCell ref="E81:X81"/>
    <mergeCell ref="H94:X94"/>
    <mergeCell ref="E93:G93"/>
    <mergeCell ref="H93:X93"/>
    <mergeCell ref="E70:R70"/>
    <mergeCell ref="E87:J87"/>
    <mergeCell ref="E95:G95"/>
    <mergeCell ref="H95:X95"/>
    <mergeCell ref="F102:S102"/>
    <mergeCell ref="E84:J84"/>
    <mergeCell ref="E100:X100"/>
    <mergeCell ref="E83:G83"/>
    <mergeCell ref="E88:J88"/>
    <mergeCell ref="E91:J91"/>
  </mergeCells>
  <phoneticPr fontId="10" type="noConversion"/>
  <hyperlinks>
    <hyperlink ref="K58:X58" location="Инструкция!A1" tooltip="Обратиться за помощью" display="Обратиться за помощью"/>
    <hyperlink ref="K59:X59" location="Инструкция!A1" tooltip="Перейти" display="Перейти"/>
    <hyperlink ref="E118:X118" location="Инструкция!A1" tooltip="Руководство по загрузке документов" display="Руководство по загрузке документов"/>
    <hyperlink ref="E71:X71" location="Инструкция!A1" tooltip="Инструкция по заполнению" display="Инструкция по заполнению"/>
    <hyperlink ref="L84:X84" location="Инструкция!A1" display="Перейти к разделу"/>
    <hyperlink ref="K84:X84" location="Инструкция!A1" tooltip="Перейти к разделу" display="Перейти к разделу"/>
    <hyperlink ref="E74:X74" location="Инструкция!A1" display="Руководство по загрузке документов"/>
  </hyperlinks>
  <pageMargins left="0.7" right="0.7" top="0.75" bottom="0.75" header="0.3" footer="0.3"/>
  <pageSetup paperSize="9" orientation="portrait" horizontalDpi="180" verticalDpi="180" r:id="rId1"/>
  <headerFooter alignWithMargins="0"/>
  <drawing r:id="rId2"/>
  <legacyDrawing r:id="rId3"/>
  <oleObjects>
    <mc:AlternateContent xmlns:mc="http://schemas.openxmlformats.org/markup-compatibility/2006">
      <mc:Choice Requires="x14">
        <oleObject progId="Word.Document.8" shapeId="167938" r:id="rId4">
          <objectPr defaultSize="0" autoPict="0" r:id="rId5">
            <anchor moveWithCells="1">
              <from>
                <xdr:col>31</xdr:col>
                <xdr:colOff>257175</xdr:colOff>
                <xdr:row>433</xdr:row>
                <xdr:rowOff>66675</xdr:rowOff>
              </from>
              <to>
                <xdr:col>41</xdr:col>
                <xdr:colOff>171450</xdr:colOff>
                <xdr:row>455</xdr:row>
                <xdr:rowOff>66675</xdr:rowOff>
              </to>
            </anchor>
          </objectPr>
        </oleObject>
      </mc:Choice>
      <mc:Fallback>
        <oleObject progId="Word.Document.8" shapeId="167938" r:id="rId4"/>
      </mc:Fallback>
    </mc:AlternateContent>
    <mc:AlternateContent xmlns:mc="http://schemas.openxmlformats.org/markup-compatibility/2006">
      <mc:Choice Requires="x14">
        <oleObject progId="Word.Document.8" shapeId="167939" r:id="rId6">
          <objectPr defaultSize="0" autoPict="0" r:id="rId7">
            <anchor moveWithCells="1">
              <from>
                <xdr:col>31</xdr:col>
                <xdr:colOff>257175</xdr:colOff>
                <xdr:row>433</xdr:row>
                <xdr:rowOff>66675</xdr:rowOff>
              </from>
              <to>
                <xdr:col>41</xdr:col>
                <xdr:colOff>161925</xdr:colOff>
                <xdr:row>454</xdr:row>
                <xdr:rowOff>57150</xdr:rowOff>
              </to>
            </anchor>
          </objectPr>
        </oleObject>
      </mc:Choice>
      <mc:Fallback>
        <oleObject progId="Word.Document.8" shapeId="167939" r:id="rId6"/>
      </mc:Fallback>
    </mc:AlternateContent>
    <mc:AlternateContent xmlns:mc="http://schemas.openxmlformats.org/markup-compatibility/2006">
      <mc:Choice Requires="x14">
        <oleObject progId="Word.Document.8" shapeId="167940" r:id="rId8">
          <objectPr defaultSize="0" autoPict="0" r:id="rId9">
            <anchor moveWithCells="1">
              <from>
                <xdr:col>31</xdr:col>
                <xdr:colOff>257175</xdr:colOff>
                <xdr:row>433</xdr:row>
                <xdr:rowOff>66675</xdr:rowOff>
              </from>
              <to>
                <xdr:col>41</xdr:col>
                <xdr:colOff>161925</xdr:colOff>
                <xdr:row>454</xdr:row>
                <xdr:rowOff>38100</xdr:rowOff>
              </to>
            </anchor>
          </objectPr>
        </oleObject>
      </mc:Choice>
      <mc:Fallback>
        <oleObject progId="Word.Document.8" shapeId="167940" r:id="rId8"/>
      </mc:Fallback>
    </mc:AlternateContent>
    <mc:AlternateContent xmlns:mc="http://schemas.openxmlformats.org/markup-compatibility/2006">
      <mc:Choice Requires="x14">
        <oleObject progId="Word.Document.8" shapeId="191831" r:id="rId10">
          <objectPr defaultSize="0" autoPict="0" r:id="rId11">
            <anchor moveWithCells="1">
              <from>
                <xdr:col>31</xdr:col>
                <xdr:colOff>257175</xdr:colOff>
                <xdr:row>433</xdr:row>
                <xdr:rowOff>66675</xdr:rowOff>
              </from>
              <to>
                <xdr:col>41</xdr:col>
                <xdr:colOff>161925</xdr:colOff>
                <xdr:row>454</xdr:row>
                <xdr:rowOff>66675</xdr:rowOff>
              </to>
            </anchor>
          </objectPr>
        </oleObject>
      </mc:Choice>
      <mc:Fallback>
        <oleObject progId="Word.Document.8" shapeId="191831" r:id="rId10"/>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
    <tabColor indexed="47"/>
  </sheetPr>
  <dimension ref="A1:BZ36"/>
  <sheetViews>
    <sheetView showGridLines="0" topLeftCell="Y1" workbookViewId="0">
      <selection activeCell="AK21" sqref="AK21"/>
    </sheetView>
  </sheetViews>
  <sheetFormatPr defaultRowHeight="11.25"/>
  <cols>
    <col min="1" max="1" width="16.85546875" customWidth="1"/>
    <col min="6" max="6" width="3.7109375" customWidth="1"/>
    <col min="7" max="10" width="4" customWidth="1"/>
    <col min="12" max="12" width="32.28515625" customWidth="1"/>
    <col min="13" max="13" width="31.140625" customWidth="1"/>
    <col min="15" max="15" width="25.42578125" customWidth="1"/>
    <col min="19" max="19" width="21.42578125" customWidth="1"/>
  </cols>
  <sheetData>
    <row r="1" spans="1:78" s="118" customFormat="1">
      <c r="A1" s="43" t="s">
        <v>169</v>
      </c>
    </row>
    <row r="2" spans="1:78" s="12" customFormat="1" ht="19.5" customHeight="1">
      <c r="C2" s="13"/>
      <c r="D2"/>
      <c r="E2" s="113"/>
      <c r="F2" s="152"/>
      <c r="G2" s="115"/>
      <c r="H2" s="187"/>
      <c r="I2" s="187"/>
      <c r="J2" s="187"/>
      <c r="BX2" s="254"/>
    </row>
    <row r="3" spans="1:78" ht="12" thickBot="1">
      <c r="A3" s="43" t="s">
        <v>285</v>
      </c>
      <c r="BX3" s="252"/>
    </row>
    <row r="4" spans="1:78" s="44" customFormat="1" ht="11.25" customHeight="1">
      <c r="C4" s="97"/>
      <c r="D4" s="366"/>
      <c r="E4" s="369"/>
      <c r="F4" s="437"/>
      <c r="G4" s="440"/>
      <c r="H4" s="378"/>
      <c r="I4" s="381"/>
      <c r="J4" s="381"/>
      <c r="K4" s="384"/>
      <c r="L4" s="442"/>
      <c r="M4" s="390"/>
      <c r="N4" s="163"/>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2"/>
      <c r="BO4" s="251"/>
      <c r="BP4" s="250"/>
      <c r="BQ4" s="250"/>
      <c r="BR4" s="250"/>
      <c r="BS4" s="250"/>
      <c r="BT4" s="250"/>
      <c r="BU4" s="250"/>
      <c r="BY4" s="250"/>
    </row>
    <row r="5" spans="1:78" s="44" customFormat="1" ht="11.25" customHeight="1">
      <c r="C5" s="306"/>
      <c r="D5" s="367"/>
      <c r="E5" s="370"/>
      <c r="F5" s="438"/>
      <c r="G5" s="376"/>
      <c r="H5" s="379"/>
      <c r="I5" s="382"/>
      <c r="J5" s="382"/>
      <c r="K5" s="385"/>
      <c r="L5" s="388"/>
      <c r="M5" s="391"/>
      <c r="N5" s="393"/>
      <c r="O5" s="396">
        <v>1</v>
      </c>
      <c r="P5" s="399"/>
      <c r="Q5" s="419"/>
      <c r="R5" s="361"/>
      <c r="S5" s="361"/>
      <c r="T5" s="361"/>
      <c r="U5" s="361"/>
      <c r="V5" s="361"/>
      <c r="W5" s="361"/>
      <c r="X5" s="361"/>
      <c r="Y5" s="361"/>
      <c r="Z5" s="361"/>
      <c r="AA5" s="361"/>
      <c r="AB5" s="361"/>
      <c r="AC5" s="361"/>
      <c r="AD5" s="361"/>
      <c r="AE5" s="209"/>
      <c r="AF5" s="220">
        <v>0</v>
      </c>
      <c r="AG5" s="219" t="s">
        <v>308</v>
      </c>
      <c r="AH5" s="219"/>
      <c r="AI5" s="219"/>
      <c r="AJ5" s="219"/>
      <c r="AK5" s="219"/>
      <c r="AL5" s="219"/>
      <c r="AM5" s="219"/>
      <c r="AN5" s="219"/>
      <c r="AO5" s="219"/>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5"/>
      <c r="BO5" s="251"/>
      <c r="BP5" s="364"/>
      <c r="BQ5" s="364"/>
      <c r="BR5" s="364"/>
      <c r="BS5" s="250"/>
      <c r="BT5" s="364"/>
      <c r="BU5" s="364"/>
      <c r="BV5" s="364"/>
      <c r="BW5" s="364"/>
      <c r="BX5" s="364"/>
      <c r="BY5" s="250"/>
    </row>
    <row r="6" spans="1:78" s="44" customFormat="1" ht="14.25">
      <c r="C6" s="306"/>
      <c r="D6" s="367"/>
      <c r="E6" s="370"/>
      <c r="F6" s="438"/>
      <c r="G6" s="376"/>
      <c r="H6" s="379"/>
      <c r="I6" s="382"/>
      <c r="J6" s="382"/>
      <c r="K6" s="385"/>
      <c r="L6" s="388"/>
      <c r="M6" s="391"/>
      <c r="N6" s="394"/>
      <c r="O6" s="397"/>
      <c r="P6" s="400"/>
      <c r="Q6" s="403"/>
      <c r="R6" s="362"/>
      <c r="S6" s="362"/>
      <c r="T6" s="362"/>
      <c r="U6" s="362"/>
      <c r="V6" s="362"/>
      <c r="W6" s="362"/>
      <c r="X6" s="362"/>
      <c r="Y6" s="362"/>
      <c r="Z6" s="362"/>
      <c r="AA6" s="362"/>
      <c r="AB6" s="362"/>
      <c r="AC6" s="362"/>
      <c r="AD6" s="362"/>
      <c r="AE6" s="193"/>
      <c r="AF6" s="217" t="s">
        <v>268</v>
      </c>
      <c r="AG6" s="158"/>
      <c r="AH6" s="300" t="s">
        <v>19</v>
      </c>
      <c r="AI6" s="301" t="s">
        <v>154</v>
      </c>
      <c r="AJ6" s="221"/>
      <c r="AK6" s="221"/>
      <c r="AL6" s="221"/>
      <c r="AM6" s="221"/>
      <c r="AN6" s="221"/>
      <c r="AO6" s="221"/>
      <c r="AP6" s="302" t="s">
        <v>19</v>
      </c>
      <c r="AQ6" s="195">
        <f>SUM(AT6,AW6,AZ6,BC6,BF6,BI6,BL6)</f>
        <v>0</v>
      </c>
      <c r="AR6" s="197">
        <f>SUM(AT6,AX6,BA6,BD6,BG6,BJ6,BM6)</f>
        <v>0</v>
      </c>
      <c r="AS6" s="195">
        <f>AQ6-AR6</f>
        <v>0</v>
      </c>
      <c r="AT6" s="312"/>
      <c r="AU6" s="312"/>
      <c r="AV6" s="244"/>
      <c r="AW6" s="159"/>
      <c r="AX6" s="312"/>
      <c r="AY6" s="194">
        <f>AW6-AX6</f>
        <v>0</v>
      </c>
      <c r="AZ6" s="160"/>
      <c r="BA6" s="312"/>
      <c r="BB6" s="194">
        <f>AZ6-BA6</f>
        <v>0</v>
      </c>
      <c r="BC6" s="159"/>
      <c r="BD6" s="312"/>
      <c r="BE6" s="194">
        <f>BC6-BD6</f>
        <v>0</v>
      </c>
      <c r="BF6" s="159"/>
      <c r="BG6" s="244"/>
      <c r="BH6" s="194">
        <f>BF6-BG6</f>
        <v>0</v>
      </c>
      <c r="BI6" s="159"/>
      <c r="BJ6" s="244"/>
      <c r="BK6" s="194">
        <f>BI6-BJ6</f>
        <v>0</v>
      </c>
      <c r="BL6" s="312"/>
      <c r="BM6" s="312"/>
      <c r="BN6" s="195">
        <f>BL6-BM6</f>
        <v>0</v>
      </c>
      <c r="BO6" s="251">
        <v>0</v>
      </c>
      <c r="BP6" s="364"/>
      <c r="BQ6" s="364"/>
      <c r="BR6" s="364"/>
      <c r="BS6" s="249" t="str">
        <f>AG6 &amp; BO6</f>
        <v>0</v>
      </c>
      <c r="BT6" s="364"/>
      <c r="BU6" s="364"/>
      <c r="BV6" s="364"/>
      <c r="BW6" s="364"/>
      <c r="BX6" s="364"/>
      <c r="BY6" s="249" t="str">
        <f>AG6&amp;AH6</f>
        <v>нет</v>
      </c>
      <c r="BZ6" s="250"/>
    </row>
    <row r="7" spans="1:78" s="44" customFormat="1" ht="15" customHeight="1">
      <c r="C7" s="306"/>
      <c r="D7" s="367"/>
      <c r="E7" s="370"/>
      <c r="F7" s="438"/>
      <c r="G7" s="376"/>
      <c r="H7" s="379"/>
      <c r="I7" s="382"/>
      <c r="J7" s="382"/>
      <c r="K7" s="385"/>
      <c r="L7" s="388"/>
      <c r="M7" s="391"/>
      <c r="N7" s="395"/>
      <c r="O7" s="398"/>
      <c r="P7" s="401"/>
      <c r="Q7" s="404"/>
      <c r="R7" s="363"/>
      <c r="S7" s="363"/>
      <c r="T7" s="363"/>
      <c r="U7" s="363"/>
      <c r="V7" s="363"/>
      <c r="W7" s="363"/>
      <c r="X7" s="363"/>
      <c r="Y7" s="363"/>
      <c r="Z7" s="363"/>
      <c r="AA7" s="363"/>
      <c r="AB7" s="363"/>
      <c r="AC7" s="363"/>
      <c r="AD7" s="363"/>
      <c r="AE7" s="279" t="s">
        <v>379</v>
      </c>
      <c r="AF7" s="203"/>
      <c r="AG7" s="223" t="s">
        <v>24</v>
      </c>
      <c r="AH7" s="223"/>
      <c r="AI7" s="223"/>
      <c r="AJ7" s="223"/>
      <c r="AK7" s="223"/>
      <c r="AL7" s="223"/>
      <c r="AM7" s="223"/>
      <c r="AN7" s="223"/>
      <c r="AO7" s="223"/>
      <c r="AP7" s="168"/>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70"/>
      <c r="BO7" s="251"/>
      <c r="BP7" s="364"/>
      <c r="BQ7" s="364"/>
      <c r="BR7" s="364"/>
      <c r="BS7" s="250"/>
      <c r="BT7" s="364"/>
      <c r="BU7" s="364"/>
      <c r="BV7" s="364"/>
      <c r="BW7" s="364"/>
      <c r="BX7" s="364"/>
      <c r="BY7" s="250"/>
    </row>
    <row r="8" spans="1:78" s="44" customFormat="1" ht="15" customHeight="1" thickBot="1">
      <c r="C8" s="307"/>
      <c r="D8" s="368"/>
      <c r="E8" s="371"/>
      <c r="F8" s="439"/>
      <c r="G8" s="377"/>
      <c r="H8" s="380"/>
      <c r="I8" s="383"/>
      <c r="J8" s="383"/>
      <c r="K8" s="386"/>
      <c r="L8" s="389"/>
      <c r="M8" s="392"/>
      <c r="N8" s="280" t="s">
        <v>380</v>
      </c>
      <c r="O8" s="212"/>
      <c r="P8" s="365" t="s">
        <v>282</v>
      </c>
      <c r="Q8" s="365"/>
      <c r="R8" s="171"/>
      <c r="S8" s="171"/>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7"/>
      <c r="BO8" s="251"/>
      <c r="BP8" s="250"/>
      <c r="BQ8" s="250"/>
      <c r="BR8" s="250"/>
      <c r="BS8" s="250"/>
      <c r="BT8" s="250"/>
      <c r="BU8" s="250"/>
      <c r="BY8" s="250"/>
    </row>
    <row r="9" spans="1:78">
      <c r="A9" s="43" t="s">
        <v>278</v>
      </c>
      <c r="BO9" s="252"/>
      <c r="BP9" s="252"/>
      <c r="BQ9" s="252"/>
      <c r="BR9" s="252"/>
      <c r="BS9" s="252"/>
      <c r="BT9" s="252"/>
      <c r="BU9" s="252"/>
      <c r="BY9" s="252"/>
    </row>
    <row r="10" spans="1:78" s="44" customFormat="1" ht="11.25" customHeight="1">
      <c r="C10" s="97"/>
      <c r="D10"/>
      <c r="E10"/>
      <c r="F10"/>
      <c r="G10"/>
      <c r="H10"/>
      <c r="I10"/>
      <c r="J10"/>
      <c r="K10"/>
      <c r="L10"/>
      <c r="M10"/>
      <c r="N10" s="441"/>
      <c r="O10" s="396"/>
      <c r="P10" s="443" t="s">
        <v>18</v>
      </c>
      <c r="Q10" s="419"/>
      <c r="R10" s="361"/>
      <c r="S10" s="361"/>
      <c r="T10" s="361"/>
      <c r="U10" s="361"/>
      <c r="V10" s="361"/>
      <c r="W10" s="361"/>
      <c r="X10" s="361"/>
      <c r="Y10" s="361"/>
      <c r="Z10" s="361"/>
      <c r="AA10" s="361"/>
      <c r="AB10" s="361"/>
      <c r="AC10" s="361"/>
      <c r="AD10" s="361"/>
      <c r="AE10" s="209"/>
      <c r="AF10" s="220">
        <v>0</v>
      </c>
      <c r="AG10" s="219" t="s">
        <v>308</v>
      </c>
      <c r="AH10" s="219"/>
      <c r="AI10" s="219"/>
      <c r="AJ10" s="219"/>
      <c r="AK10" s="219"/>
      <c r="AL10" s="219"/>
      <c r="AM10" s="219"/>
      <c r="AN10" s="219"/>
      <c r="AO10" s="219"/>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5"/>
      <c r="BO10" s="251"/>
      <c r="BP10" s="364"/>
      <c r="BQ10" s="364"/>
      <c r="BR10" s="364"/>
      <c r="BS10" s="250"/>
      <c r="BT10" s="364"/>
      <c r="BU10" s="364"/>
      <c r="BV10" s="364"/>
      <c r="BW10" s="364"/>
      <c r="BX10" s="364"/>
      <c r="BY10" s="250"/>
    </row>
    <row r="11" spans="1:78" s="44" customFormat="1" ht="14.25">
      <c r="C11" s="97"/>
      <c r="D11"/>
      <c r="E11"/>
      <c r="F11"/>
      <c r="G11"/>
      <c r="H11"/>
      <c r="I11"/>
      <c r="J11"/>
      <c r="K11"/>
      <c r="L11"/>
      <c r="M11"/>
      <c r="N11" s="394"/>
      <c r="O11" s="397"/>
      <c r="P11" s="444"/>
      <c r="Q11" s="403"/>
      <c r="R11" s="362"/>
      <c r="S11" s="362"/>
      <c r="T11" s="362"/>
      <c r="U11" s="362"/>
      <c r="V11" s="362"/>
      <c r="W11" s="362"/>
      <c r="X11" s="362"/>
      <c r="Y11" s="362"/>
      <c r="Z11" s="362"/>
      <c r="AA11" s="362"/>
      <c r="AB11" s="362"/>
      <c r="AC11" s="362"/>
      <c r="AD11" s="362"/>
      <c r="AE11" s="193"/>
      <c r="AF11" s="217" t="s">
        <v>268</v>
      </c>
      <c r="AG11" s="158"/>
      <c r="AH11" s="300" t="s">
        <v>19</v>
      </c>
      <c r="AI11" s="301" t="s">
        <v>154</v>
      </c>
      <c r="AJ11" s="221"/>
      <c r="AK11" s="221"/>
      <c r="AL11" s="221"/>
      <c r="AM11" s="221"/>
      <c r="AN11" s="221"/>
      <c r="AO11" s="221"/>
      <c r="AP11" s="302" t="s">
        <v>19</v>
      </c>
      <c r="AQ11" s="195">
        <f>SUM(AT11,AW11,AZ11,BC11,BF11,BI11,BL11)</f>
        <v>0</v>
      </c>
      <c r="AR11" s="197">
        <f>SUM(AT11,AX11,BA11,BD11,BG11,BJ11,BM11)</f>
        <v>0</v>
      </c>
      <c r="AS11" s="195">
        <f>AQ11-AR11</f>
        <v>0</v>
      </c>
      <c r="AT11" s="312"/>
      <c r="AU11" s="312"/>
      <c r="AV11" s="244"/>
      <c r="AW11" s="159"/>
      <c r="AX11" s="312"/>
      <c r="AY11" s="194">
        <f>AW11-AX11</f>
        <v>0</v>
      </c>
      <c r="AZ11" s="160"/>
      <c r="BA11" s="312"/>
      <c r="BB11" s="194">
        <f>AZ11-BA11</f>
        <v>0</v>
      </c>
      <c r="BC11" s="159"/>
      <c r="BD11" s="312"/>
      <c r="BE11" s="194">
        <f>BC11-BD11</f>
        <v>0</v>
      </c>
      <c r="BF11" s="159"/>
      <c r="BG11" s="244"/>
      <c r="BH11" s="194">
        <f>BF11-BG11</f>
        <v>0</v>
      </c>
      <c r="BI11" s="159"/>
      <c r="BJ11" s="244"/>
      <c r="BK11" s="194">
        <f>BI11-BJ11</f>
        <v>0</v>
      </c>
      <c r="BL11" s="312"/>
      <c r="BM11" s="312"/>
      <c r="BN11" s="195">
        <f>BL11-BM11</f>
        <v>0</v>
      </c>
      <c r="BO11" s="251">
        <v>0</v>
      </c>
      <c r="BP11" s="364"/>
      <c r="BQ11" s="364"/>
      <c r="BR11" s="364"/>
      <c r="BS11" s="249" t="str">
        <f>AG11 &amp; BO11</f>
        <v>0</v>
      </c>
      <c r="BT11" s="364"/>
      <c r="BU11" s="364"/>
      <c r="BV11" s="364"/>
      <c r="BW11" s="364"/>
      <c r="BX11" s="364"/>
      <c r="BY11" s="249" t="str">
        <f>AG11&amp;AH11</f>
        <v>нет</v>
      </c>
      <c r="BZ11" s="250"/>
    </row>
    <row r="12" spans="1:78" s="44" customFormat="1" ht="15" customHeight="1">
      <c r="C12" s="97"/>
      <c r="D12"/>
      <c r="E12"/>
      <c r="F12"/>
      <c r="G12"/>
      <c r="H12"/>
      <c r="I12"/>
      <c r="J12"/>
      <c r="K12"/>
      <c r="L12"/>
      <c r="M12"/>
      <c r="N12" s="394"/>
      <c r="O12" s="398"/>
      <c r="P12" s="445"/>
      <c r="Q12" s="404"/>
      <c r="R12" s="363"/>
      <c r="S12" s="363"/>
      <c r="T12" s="363"/>
      <c r="U12" s="363"/>
      <c r="V12" s="363"/>
      <c r="W12" s="363"/>
      <c r="X12" s="363"/>
      <c r="Y12" s="363"/>
      <c r="Z12" s="363"/>
      <c r="AA12" s="363"/>
      <c r="AB12" s="363"/>
      <c r="AC12" s="363"/>
      <c r="AD12" s="363"/>
      <c r="AE12" s="279" t="s">
        <v>379</v>
      </c>
      <c r="AF12" s="216"/>
      <c r="AG12" s="223" t="s">
        <v>24</v>
      </c>
      <c r="AH12" s="223"/>
      <c r="AI12" s="223"/>
      <c r="AJ12" s="223"/>
      <c r="AK12" s="223"/>
      <c r="AL12" s="223"/>
      <c r="AM12" s="223"/>
      <c r="AN12" s="223"/>
      <c r="AO12" s="223"/>
      <c r="AP12" s="168"/>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70"/>
      <c r="BO12" s="251"/>
      <c r="BP12" s="364"/>
      <c r="BQ12" s="364"/>
      <c r="BR12" s="364"/>
      <c r="BS12" s="250"/>
      <c r="BT12" s="364"/>
      <c r="BU12" s="364"/>
      <c r="BV12" s="364"/>
      <c r="BW12" s="364"/>
      <c r="BX12" s="364"/>
      <c r="BY12" s="250"/>
    </row>
    <row r="13" spans="1:78">
      <c r="A13" s="43" t="s">
        <v>286</v>
      </c>
      <c r="BO13" s="252"/>
      <c r="BP13" s="252"/>
      <c r="BQ13" s="252"/>
      <c r="BR13" s="252"/>
      <c r="BS13" s="252"/>
      <c r="BT13" s="252"/>
      <c r="BU13" s="252"/>
      <c r="BY13" s="252"/>
    </row>
    <row r="14" spans="1:78" s="44" customFormat="1" ht="14.25">
      <c r="C14" s="97"/>
      <c r="D14"/>
      <c r="E14"/>
      <c r="F14"/>
      <c r="G14"/>
      <c r="H14"/>
      <c r="I14"/>
      <c r="J14"/>
      <c r="K14"/>
      <c r="L14"/>
      <c r="M14"/>
      <c r="N14" s="157"/>
      <c r="O14" s="211"/>
      <c r="P14" s="211"/>
      <c r="Q14" s="211"/>
      <c r="R14" s="211"/>
      <c r="S14" s="211"/>
      <c r="T14" s="211"/>
      <c r="U14" s="211"/>
      <c r="V14" s="211"/>
      <c r="W14" s="211"/>
      <c r="X14" s="211"/>
      <c r="Y14" s="211"/>
      <c r="Z14" s="211"/>
      <c r="AA14" s="211"/>
      <c r="AB14"/>
      <c r="AC14"/>
      <c r="AD14"/>
      <c r="AE14" s="218"/>
      <c r="AF14" s="217"/>
      <c r="AG14" s="196"/>
      <c r="AH14" s="302" t="s">
        <v>19</v>
      </c>
      <c r="AI14" s="301" t="s">
        <v>154</v>
      </c>
      <c r="AJ14" s="221"/>
      <c r="AK14" s="221"/>
      <c r="AL14" s="221"/>
      <c r="AM14" s="221"/>
      <c r="AN14" s="221"/>
      <c r="AO14" s="221"/>
      <c r="AP14" s="302" t="s">
        <v>19</v>
      </c>
      <c r="AQ14" s="195">
        <f>SUM(AT14,AW14,AZ14,BC14,BF14,BI14,BL14)</f>
        <v>0</v>
      </c>
      <c r="AR14" s="197">
        <f>SUM(AT14,AX14,BA14,BD14,BG14,BJ14,BM14)</f>
        <v>0</v>
      </c>
      <c r="AS14" s="195">
        <f>AQ14-AR14</f>
        <v>0</v>
      </c>
      <c r="AT14" s="315"/>
      <c r="AU14" s="315"/>
      <c r="AV14" s="241"/>
      <c r="AW14" s="198"/>
      <c r="AX14" s="313"/>
      <c r="AY14" s="199">
        <f>AW14-AX14</f>
        <v>0</v>
      </c>
      <c r="AZ14" s="173"/>
      <c r="BA14" s="313"/>
      <c r="BB14" s="199">
        <f>AZ14-BA14</f>
        <v>0</v>
      </c>
      <c r="BC14" s="198"/>
      <c r="BD14" s="313"/>
      <c r="BE14" s="199">
        <f>BC14-BD14</f>
        <v>0</v>
      </c>
      <c r="BF14" s="198"/>
      <c r="BG14" s="241"/>
      <c r="BH14" s="199">
        <f>BF14-BG14</f>
        <v>0</v>
      </c>
      <c r="BI14" s="198"/>
      <c r="BJ14" s="241"/>
      <c r="BK14" s="199">
        <f>BI14-BJ14</f>
        <v>0</v>
      </c>
      <c r="BL14" s="313"/>
      <c r="BM14" s="313"/>
      <c r="BN14" s="195">
        <f>BL14-BM14</f>
        <v>0</v>
      </c>
      <c r="BO14" s="251">
        <v>0</v>
      </c>
      <c r="BP14" s="250"/>
      <c r="BQ14" s="250"/>
      <c r="BR14" s="250"/>
      <c r="BS14" s="249" t="str">
        <f>AG14 &amp; BO14</f>
        <v>0</v>
      </c>
      <c r="BT14" s="250"/>
      <c r="BU14" s="250"/>
      <c r="BY14" s="249" t="str">
        <f>AG14&amp;AH14</f>
        <v>нет</v>
      </c>
      <c r="BZ14" s="250"/>
    </row>
    <row r="15" spans="1:78">
      <c r="A15" s="43" t="s">
        <v>388</v>
      </c>
      <c r="BO15" s="252"/>
      <c r="BP15" s="252"/>
      <c r="BQ15" s="252"/>
      <c r="BR15" s="252"/>
      <c r="BS15" s="252"/>
      <c r="BT15" s="252"/>
      <c r="BU15" s="252"/>
      <c r="BY15" s="252"/>
    </row>
    <row r="16" spans="1:78" s="44" customFormat="1" ht="14.25">
      <c r="C16" s="97"/>
      <c r="D16"/>
      <c r="E16"/>
      <c r="F16"/>
      <c r="G16"/>
      <c r="H16"/>
      <c r="I16"/>
      <c r="J16"/>
      <c r="K16"/>
      <c r="L16"/>
      <c r="M16"/>
      <c r="N16" s="157"/>
      <c r="O16" s="211"/>
      <c r="P16" s="211"/>
      <c r="Q16" s="211"/>
      <c r="R16" s="211"/>
      <c r="S16" s="211"/>
      <c r="T16" s="211"/>
      <c r="U16" s="211"/>
      <c r="V16" s="211"/>
      <c r="W16" s="211"/>
      <c r="X16" s="211"/>
      <c r="Y16" s="211"/>
      <c r="Z16" s="211"/>
      <c r="AA16" s="211"/>
      <c r="AB16"/>
      <c r="AC16"/>
      <c r="AD16"/>
      <c r="AE16" s="218"/>
      <c r="AF16" s="217"/>
      <c r="AG16" s="305"/>
      <c r="AH16" s="172"/>
      <c r="AI16" s="217"/>
      <c r="AJ16" s="221"/>
      <c r="AK16" s="221"/>
      <c r="AL16" s="221"/>
      <c r="AM16" s="221"/>
      <c r="AN16" s="221"/>
      <c r="AO16" s="221"/>
      <c r="AP16" s="172" t="s">
        <v>19</v>
      </c>
      <c r="AQ16" s="195">
        <f>SUM(AT16,AW16,AZ16,BC16,BF16,BI16,BL16)</f>
        <v>0</v>
      </c>
      <c r="AR16" s="197">
        <f>SUM(AT16,AX16,BA16,BD16,BG16,BJ16,BM16)</f>
        <v>0</v>
      </c>
      <c r="AS16" s="195">
        <f>AQ16-AR16</f>
        <v>0</v>
      </c>
      <c r="AT16" s="270"/>
      <c r="AU16" s="173"/>
      <c r="AV16" s="241"/>
      <c r="AW16" s="198"/>
      <c r="AX16" s="241"/>
      <c r="AY16" s="199">
        <f>AW16-AX16</f>
        <v>0</v>
      </c>
      <c r="AZ16" s="173"/>
      <c r="BA16" s="241"/>
      <c r="BB16" s="199">
        <f>AZ16-BA16</f>
        <v>0</v>
      </c>
      <c r="BC16" s="198"/>
      <c r="BD16" s="241"/>
      <c r="BE16" s="199">
        <f>BC16-BD16</f>
        <v>0</v>
      </c>
      <c r="BF16" s="198"/>
      <c r="BG16" s="241"/>
      <c r="BH16" s="199">
        <f>BF16-BG16</f>
        <v>0</v>
      </c>
      <c r="BI16" s="198"/>
      <c r="BJ16" s="241"/>
      <c r="BK16" s="199">
        <f>BI16-BJ16</f>
        <v>0</v>
      </c>
      <c r="BL16" s="198"/>
      <c r="BM16" s="241"/>
      <c r="BN16" s="195">
        <f>BL16-BM16</f>
        <v>0</v>
      </c>
      <c r="BO16" s="251">
        <v>0</v>
      </c>
      <c r="BP16" s="250"/>
      <c r="BQ16" s="250"/>
      <c r="BR16" s="250"/>
      <c r="BS16" s="249" t="str">
        <f>AG16 &amp; BO16</f>
        <v>0</v>
      </c>
      <c r="BT16" s="250"/>
      <c r="BU16" s="250"/>
      <c r="BY16" s="249" t="str">
        <f>AG16&amp;AH16</f>
        <v/>
      </c>
      <c r="BZ16" s="250"/>
    </row>
    <row r="17" spans="1:78" s="181" customFormat="1" ht="15">
      <c r="A17" s="180" t="s">
        <v>288</v>
      </c>
      <c r="D17" s="182"/>
      <c r="E17" s="182"/>
      <c r="BO17" s="253"/>
      <c r="BP17" s="253"/>
      <c r="BQ17" s="253"/>
      <c r="BR17" s="253"/>
      <c r="BS17" s="253"/>
      <c r="BT17" s="253"/>
      <c r="BU17" s="253"/>
      <c r="BY17" s="253"/>
    </row>
    <row r="18" spans="1:78" s="12" customFormat="1" ht="15" customHeight="1">
      <c r="C18" s="183"/>
      <c r="D18" s="184"/>
      <c r="E18" s="185"/>
      <c r="BO18" s="254"/>
      <c r="BP18" s="254"/>
      <c r="BQ18" s="254"/>
      <c r="BR18" s="254"/>
      <c r="BS18" s="254"/>
      <c r="BT18" s="254"/>
      <c r="BU18" s="254"/>
      <c r="BY18" s="254"/>
    </row>
    <row r="19" spans="1:78">
      <c r="A19" s="43" t="s">
        <v>326</v>
      </c>
      <c r="BY19" s="252"/>
    </row>
    <row r="20" spans="1:78" ht="15" customHeight="1">
      <c r="C20" s="247"/>
      <c r="D20" s="233"/>
      <c r="E20" s="265"/>
      <c r="F20" s="266"/>
      <c r="G20" s="267"/>
      <c r="H20" s="237" t="str">
        <f xml:space="preserve"> IFERROR(IF(LEN(G20)=0,"",VLOOKUP(G20,OKTMO_TYPE_LIST,2,FALSE)),"МО отсутствует")</f>
        <v/>
      </c>
      <c r="I20" s="246"/>
      <c r="J20" s="263" t="s">
        <v>337</v>
      </c>
      <c r="K20" s="264"/>
      <c r="L20" s="264"/>
      <c r="M20" s="264"/>
    </row>
    <row r="23" spans="1:78" s="44" customFormat="1" ht="24" customHeight="1">
      <c r="C23" s="45"/>
      <c r="D23" s="410" t="s">
        <v>36</v>
      </c>
      <c r="E23" s="410" t="s">
        <v>195</v>
      </c>
      <c r="F23" s="410" t="s">
        <v>196</v>
      </c>
      <c r="G23" s="435" t="s">
        <v>163</v>
      </c>
      <c r="H23" s="436" t="s">
        <v>315</v>
      </c>
      <c r="I23" s="436"/>
      <c r="J23" s="436"/>
      <c r="K23" s="408" t="s">
        <v>254</v>
      </c>
      <c r="L23" s="412" t="s">
        <v>266</v>
      </c>
      <c r="M23" s="408" t="s">
        <v>267</v>
      </c>
      <c r="N23" s="213"/>
      <c r="O23" s="416" t="s">
        <v>316</v>
      </c>
      <c r="P23" s="424" t="s">
        <v>281</v>
      </c>
      <c r="Q23" s="424" t="s">
        <v>309</v>
      </c>
      <c r="R23" s="424" t="s">
        <v>310</v>
      </c>
      <c r="S23" s="431" t="s">
        <v>311</v>
      </c>
      <c r="T23" s="431"/>
      <c r="U23" s="431"/>
      <c r="V23" s="431"/>
      <c r="W23" s="431"/>
      <c r="X23" s="431"/>
      <c r="Y23" s="432"/>
      <c r="Z23" s="433" t="s">
        <v>315</v>
      </c>
      <c r="AA23" s="431"/>
      <c r="AB23" s="431"/>
      <c r="AC23" s="431"/>
      <c r="AD23" s="432"/>
      <c r="AE23" s="213"/>
      <c r="AF23" s="416" t="s">
        <v>317</v>
      </c>
      <c r="AG23" s="427" t="s">
        <v>161</v>
      </c>
      <c r="AH23" s="424" t="s">
        <v>365</v>
      </c>
      <c r="AI23" s="424" t="s">
        <v>371</v>
      </c>
      <c r="AJ23" s="424" t="s">
        <v>369</v>
      </c>
      <c r="AK23" s="424" t="s">
        <v>370</v>
      </c>
      <c r="AL23" s="424" t="s">
        <v>372</v>
      </c>
      <c r="AM23" s="424" t="s">
        <v>373</v>
      </c>
      <c r="AN23" s="424" t="s">
        <v>374</v>
      </c>
      <c r="AO23" s="424" t="s">
        <v>375</v>
      </c>
      <c r="AP23" s="412" t="s">
        <v>283</v>
      </c>
      <c r="AQ23" s="412" t="s">
        <v>299</v>
      </c>
      <c r="AR23" s="412" t="s">
        <v>300</v>
      </c>
      <c r="AS23" s="412" t="s">
        <v>301</v>
      </c>
      <c r="AT23" s="412" t="s">
        <v>302</v>
      </c>
      <c r="AU23" s="412" t="s">
        <v>390</v>
      </c>
      <c r="AV23" s="424" t="str">
        <f>"Размер средств, исключаемых из НВВ на " &amp; god &amp; " год, в связи с неисполнением ИП"</f>
        <v>Размер средств, исключаемых из НВВ на 2020 год, в связи с неисполнением ИП</v>
      </c>
      <c r="AW23" s="238" t="str">
        <f>"Утверждено на " &amp; god &amp; " (План)"</f>
        <v>Утверждено на 2020 (План)</v>
      </c>
      <c r="AX23" s="238" t="str">
        <f>"Утверждено на " &amp; god &amp; " (Уточненный план)"</f>
        <v>Утверждено на 2020 (Уточненный план)</v>
      </c>
      <c r="AY23" s="238" t="str">
        <f>"Утверждено на " &amp; god &amp; " (Дельта)"</f>
        <v>Утверждено на 2020 (Дельта)</v>
      </c>
      <c r="AZ23" s="238" t="str">
        <f>"Утверждено на " &amp; god+1 &amp; " (План)"</f>
        <v>Утверждено на 2021 (План)</v>
      </c>
      <c r="BA23" s="238" t="str">
        <f>"Утверждено на " &amp; god+1 &amp; " (Уточненный план)"</f>
        <v>Утверждено на 2021 (Уточненный план)</v>
      </c>
      <c r="BB23" s="238" t="str">
        <f>"Утверждено на " &amp; god+1 &amp; " (Дельта)"</f>
        <v>Утверждено на 2021 (Дельта)</v>
      </c>
      <c r="BC23" s="238" t="str">
        <f>"Утверждено на " &amp; god+2 &amp; " (План)"</f>
        <v>Утверждено на 2022 (План)</v>
      </c>
      <c r="BD23" s="238" t="str">
        <f>"Утверждено на " &amp; god+2 &amp; " (Уточненный план)"</f>
        <v>Утверждено на 2022 (Уточненный план)</v>
      </c>
      <c r="BE23" s="238" t="str">
        <f>"Утверждено на " &amp; god+2 &amp; " (Дельта)"</f>
        <v>Утверждено на 2022 (Дельта)</v>
      </c>
      <c r="BF23" s="238" t="str">
        <f>"Утверждено на " &amp; god+3 &amp; " (План)"</f>
        <v>Утверждено на 2023 (План)</v>
      </c>
      <c r="BG23" s="238" t="str">
        <f>"Утверждено на " &amp; god+3 &amp; " (Уточненный план)"</f>
        <v>Утверждено на 2023 (Уточненный план)</v>
      </c>
      <c r="BH23" s="238" t="str">
        <f>"Утверждено на " &amp; god+3 &amp; " (Дельта)"</f>
        <v>Утверждено на 2023 (Дельта)</v>
      </c>
      <c r="BI23" s="238" t="str">
        <f>"Утверждено на " &amp; god+4 &amp; " (План)"</f>
        <v>Утверждено на 2024 (План)</v>
      </c>
      <c r="BJ23" s="238" t="str">
        <f>"Утверждено на " &amp; god+4 &amp; " (Уточненный план)"</f>
        <v>Утверждено на 2024 (Уточненный план)</v>
      </c>
      <c r="BK23" s="238" t="str">
        <f>"Утверждено на " &amp; god+4 &amp; " (Дельта)"</f>
        <v>Утверждено на 2024 (Дельта)</v>
      </c>
      <c r="BL23" s="412" t="str">
        <f>"Утверждено на оставшийся период (План)"</f>
        <v>Утверждено на оставшийся период (План)</v>
      </c>
      <c r="BM23" s="412" t="str">
        <f>"Утверждено на оставшийся период (Уточненный план)"</f>
        <v>Утверждено на оставшийся период (Уточненный план)</v>
      </c>
      <c r="BN23" s="424" t="str">
        <f>"Утверждено на оставшийся период (Дельта)"</f>
        <v>Утверждено на оставшийся период (Дельта)</v>
      </c>
      <c r="BO23" s="144"/>
      <c r="BP23" s="145"/>
    </row>
    <row r="24" spans="1:78" s="44" customFormat="1" ht="24" customHeight="1">
      <c r="C24" s="45"/>
      <c r="D24" s="434"/>
      <c r="E24" s="434"/>
      <c r="F24" s="434"/>
      <c r="G24" s="435"/>
      <c r="H24" s="210" t="s">
        <v>157</v>
      </c>
      <c r="I24" s="210" t="s">
        <v>158</v>
      </c>
      <c r="J24" s="210" t="s">
        <v>159</v>
      </c>
      <c r="K24" s="430"/>
      <c r="L24" s="429"/>
      <c r="M24" s="430"/>
      <c r="N24" s="214"/>
      <c r="O24" s="426"/>
      <c r="P24" s="425"/>
      <c r="Q24" s="425"/>
      <c r="R24" s="425"/>
      <c r="S24" s="239" t="s">
        <v>157</v>
      </c>
      <c r="T24" s="240" t="s">
        <v>158</v>
      </c>
      <c r="U24" s="240" t="s">
        <v>159</v>
      </c>
      <c r="V24" s="240" t="s">
        <v>312</v>
      </c>
      <c r="W24" s="240" t="s">
        <v>159</v>
      </c>
      <c r="X24" s="240" t="s">
        <v>313</v>
      </c>
      <c r="Y24" s="240" t="s">
        <v>314</v>
      </c>
      <c r="Z24" s="210" t="s">
        <v>157</v>
      </c>
      <c r="AA24" s="240" t="s">
        <v>158</v>
      </c>
      <c r="AB24" s="240" t="s">
        <v>159</v>
      </c>
      <c r="AC24" s="240" t="s">
        <v>312</v>
      </c>
      <c r="AD24" s="240" t="s">
        <v>159</v>
      </c>
      <c r="AE24" s="214"/>
      <c r="AF24" s="426"/>
      <c r="AG24" s="428"/>
      <c r="AH24" s="425"/>
      <c r="AI24" s="425"/>
      <c r="AJ24" s="425"/>
      <c r="AK24" s="425"/>
      <c r="AL24" s="425"/>
      <c r="AM24" s="425"/>
      <c r="AN24" s="425"/>
      <c r="AO24" s="425"/>
      <c r="AP24" s="430"/>
      <c r="AQ24" s="429"/>
      <c r="AR24" s="429"/>
      <c r="AS24" s="429"/>
      <c r="AT24" s="429"/>
      <c r="AU24" s="413"/>
      <c r="AV24" s="425"/>
      <c r="AW24" s="240" t="s">
        <v>141</v>
      </c>
      <c r="AX24" s="240" t="s">
        <v>141</v>
      </c>
      <c r="AY24" s="240" t="s">
        <v>141</v>
      </c>
      <c r="AZ24" s="240" t="s">
        <v>141</v>
      </c>
      <c r="BA24" s="240" t="s">
        <v>141</v>
      </c>
      <c r="BB24" s="240" t="s">
        <v>141</v>
      </c>
      <c r="BC24" s="240" t="s">
        <v>141</v>
      </c>
      <c r="BD24" s="240" t="s">
        <v>141</v>
      </c>
      <c r="BE24" s="240" t="s">
        <v>141</v>
      </c>
      <c r="BF24" s="240" t="s">
        <v>141</v>
      </c>
      <c r="BG24" s="240" t="s">
        <v>141</v>
      </c>
      <c r="BH24" s="240" t="s">
        <v>141</v>
      </c>
      <c r="BI24" s="240" t="s">
        <v>141</v>
      </c>
      <c r="BJ24" s="240" t="s">
        <v>141</v>
      </c>
      <c r="BK24" s="240" t="s">
        <v>141</v>
      </c>
      <c r="BL24" s="429"/>
      <c r="BM24" s="429"/>
      <c r="BN24" s="425"/>
      <c r="BO24" s="144"/>
      <c r="BP24" s="145"/>
    </row>
    <row r="27" spans="1:78" ht="12" thickBot="1">
      <c r="A27" s="43" t="s">
        <v>386</v>
      </c>
    </row>
    <row r="28" spans="1:78" s="44" customFormat="1" ht="11.25" customHeight="1">
      <c r="C28" s="97"/>
      <c r="D28" s="366"/>
      <c r="E28" s="447"/>
      <c r="F28" s="437"/>
      <c r="G28" s="450"/>
      <c r="H28" s="446"/>
      <c r="I28" s="446"/>
      <c r="J28" s="446"/>
      <c r="K28" s="384"/>
      <c r="L28" s="442"/>
      <c r="M28" s="390"/>
      <c r="N28" s="163"/>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2"/>
      <c r="BO28" s="251"/>
      <c r="BP28" s="250"/>
      <c r="BQ28" s="250"/>
      <c r="BR28" s="250"/>
      <c r="BS28" s="250"/>
      <c r="BT28" s="250"/>
      <c r="BU28" s="250"/>
      <c r="BY28" s="250"/>
    </row>
    <row r="29" spans="1:78" s="44" customFormat="1" ht="11.25" customHeight="1">
      <c r="C29" s="306"/>
      <c r="D29" s="367"/>
      <c r="E29" s="448"/>
      <c r="F29" s="438"/>
      <c r="G29" s="451"/>
      <c r="H29" s="379"/>
      <c r="I29" s="382"/>
      <c r="J29" s="382"/>
      <c r="K29" s="385"/>
      <c r="L29" s="388"/>
      <c r="M29" s="391"/>
      <c r="N29" s="393"/>
      <c r="O29" s="396"/>
      <c r="P29" s="453"/>
      <c r="Q29" s="402"/>
      <c r="R29" s="361"/>
      <c r="S29" s="361"/>
      <c r="T29" s="361"/>
      <c r="U29" s="361"/>
      <c r="V29" s="361"/>
      <c r="W29" s="361"/>
      <c r="X29" s="361"/>
      <c r="Y29" s="361"/>
      <c r="Z29" s="361"/>
      <c r="AA29" s="361"/>
      <c r="AB29" s="361"/>
      <c r="AC29" s="361"/>
      <c r="AD29" s="361"/>
      <c r="AE29" s="209"/>
      <c r="AF29" s="220">
        <v>0</v>
      </c>
      <c r="AG29" s="219" t="s">
        <v>308</v>
      </c>
      <c r="AH29" s="219"/>
      <c r="AI29" s="219"/>
      <c r="AJ29" s="219"/>
      <c r="AK29" s="219"/>
      <c r="AL29" s="219"/>
      <c r="AM29" s="219"/>
      <c r="AN29" s="219"/>
      <c r="AO29" s="219"/>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5"/>
      <c r="BO29" s="251"/>
      <c r="BP29" s="364"/>
      <c r="BQ29" s="364"/>
      <c r="BR29" s="364"/>
      <c r="BS29" s="250"/>
      <c r="BT29" s="364"/>
      <c r="BU29" s="364"/>
      <c r="BV29" s="364"/>
      <c r="BW29" s="364"/>
      <c r="BX29" s="364"/>
      <c r="BY29" s="250"/>
    </row>
    <row r="30" spans="1:78" s="44" customFormat="1" ht="14.25">
      <c r="C30" s="306"/>
      <c r="D30" s="367"/>
      <c r="E30" s="448"/>
      <c r="F30" s="438"/>
      <c r="G30" s="451"/>
      <c r="H30" s="379"/>
      <c r="I30" s="382"/>
      <c r="J30" s="382"/>
      <c r="K30" s="385"/>
      <c r="L30" s="388"/>
      <c r="M30" s="391"/>
      <c r="N30" s="394"/>
      <c r="O30" s="397"/>
      <c r="P30" s="454"/>
      <c r="Q30" s="403"/>
      <c r="R30" s="362"/>
      <c r="S30" s="362"/>
      <c r="T30" s="362"/>
      <c r="U30" s="362"/>
      <c r="V30" s="362"/>
      <c r="W30" s="362"/>
      <c r="X30" s="362"/>
      <c r="Y30" s="362"/>
      <c r="Z30" s="362"/>
      <c r="AA30" s="362"/>
      <c r="AB30" s="362"/>
      <c r="AC30" s="362"/>
      <c r="AD30" s="362"/>
      <c r="AE30" s="193"/>
      <c r="AF30" s="217"/>
      <c r="AG30" s="299"/>
      <c r="AH30" s="300"/>
      <c r="AI30" s="301"/>
      <c r="AJ30" s="221"/>
      <c r="AK30" s="221"/>
      <c r="AL30" s="221"/>
      <c r="AM30" s="221"/>
      <c r="AN30" s="221"/>
      <c r="AO30" s="221"/>
      <c r="AP30" s="302"/>
      <c r="AQ30" s="195">
        <f>SUM(AT30,AW30,AZ30,BC30,BF30,BI30,BL30)</f>
        <v>0</v>
      </c>
      <c r="AR30" s="197">
        <f>SUM(AT30,AX30,BA30,BD30,BG30,BJ30,BM30)</f>
        <v>0</v>
      </c>
      <c r="AS30" s="195">
        <f>AQ30-AR30</f>
        <v>0</v>
      </c>
      <c r="AT30" s="270"/>
      <c r="AU30" s="159"/>
      <c r="AV30" s="241"/>
      <c r="AW30" s="198"/>
      <c r="AX30" s="241"/>
      <c r="AY30" s="199">
        <f>AW30-AX30</f>
        <v>0</v>
      </c>
      <c r="AZ30" s="173"/>
      <c r="BA30" s="241"/>
      <c r="BB30" s="199">
        <f>AZ30-BA30</f>
        <v>0</v>
      </c>
      <c r="BC30" s="198"/>
      <c r="BD30" s="241"/>
      <c r="BE30" s="199">
        <f>BC30-BD30</f>
        <v>0</v>
      </c>
      <c r="BF30" s="198"/>
      <c r="BG30" s="241"/>
      <c r="BH30" s="199">
        <f>BF30-BG30</f>
        <v>0</v>
      </c>
      <c r="BI30" s="198"/>
      <c r="BJ30" s="241"/>
      <c r="BK30" s="199">
        <f>BI30-BJ30</f>
        <v>0</v>
      </c>
      <c r="BL30" s="198"/>
      <c r="BM30" s="241"/>
      <c r="BN30" s="195">
        <f>BL30-BM30</f>
        <v>0</v>
      </c>
      <c r="BO30" s="251">
        <v>0</v>
      </c>
      <c r="BP30" s="364"/>
      <c r="BQ30" s="364"/>
      <c r="BR30" s="364"/>
      <c r="BS30" s="249" t="str">
        <f>AG30 &amp; BO30</f>
        <v>0</v>
      </c>
      <c r="BT30" s="364"/>
      <c r="BU30" s="364"/>
      <c r="BV30" s="364"/>
      <c r="BW30" s="364"/>
      <c r="BX30" s="364"/>
      <c r="BY30" s="249" t="str">
        <f>AG30&amp;AH30</f>
        <v/>
      </c>
      <c r="BZ30" s="250">
        <v>0</v>
      </c>
    </row>
    <row r="31" spans="1:78" s="44" customFormat="1" ht="15" customHeight="1">
      <c r="C31" s="306"/>
      <c r="D31" s="367"/>
      <c r="E31" s="448"/>
      <c r="F31" s="438"/>
      <c r="G31" s="451"/>
      <c r="H31" s="379"/>
      <c r="I31" s="382"/>
      <c r="J31" s="382"/>
      <c r="K31" s="385"/>
      <c r="L31" s="388"/>
      <c r="M31" s="391"/>
      <c r="N31" s="395"/>
      <c r="O31" s="398"/>
      <c r="P31" s="455"/>
      <c r="Q31" s="404"/>
      <c r="R31" s="363"/>
      <c r="S31" s="363"/>
      <c r="T31" s="363"/>
      <c r="U31" s="363"/>
      <c r="V31" s="363"/>
      <c r="W31" s="363"/>
      <c r="X31" s="363"/>
      <c r="Y31" s="363"/>
      <c r="Z31" s="363"/>
      <c r="AA31" s="363"/>
      <c r="AB31" s="363"/>
      <c r="AC31" s="363"/>
      <c r="AD31" s="363"/>
      <c r="AE31" s="279" t="s">
        <v>379</v>
      </c>
      <c r="AF31" s="203"/>
      <c r="AG31" s="223" t="s">
        <v>154</v>
      </c>
      <c r="AH31" s="223"/>
      <c r="AI31" s="223"/>
      <c r="AJ31" s="223"/>
      <c r="AK31" s="223"/>
      <c r="AL31" s="223"/>
      <c r="AM31" s="223"/>
      <c r="AN31" s="223"/>
      <c r="AO31" s="223"/>
      <c r="AP31" s="168"/>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70"/>
      <c r="BO31" s="251"/>
      <c r="BP31" s="364"/>
      <c r="BQ31" s="364"/>
      <c r="BR31" s="364"/>
      <c r="BS31" s="250"/>
      <c r="BT31" s="364"/>
      <c r="BU31" s="364"/>
      <c r="BV31" s="364"/>
      <c r="BW31" s="364"/>
      <c r="BX31" s="364"/>
      <c r="BY31" s="250"/>
    </row>
    <row r="32" spans="1:78" s="44" customFormat="1" ht="15" customHeight="1" thickBot="1">
      <c r="C32" s="307"/>
      <c r="D32" s="368"/>
      <c r="E32" s="449"/>
      <c r="F32" s="439"/>
      <c r="G32" s="452"/>
      <c r="H32" s="380"/>
      <c r="I32" s="383"/>
      <c r="J32" s="383"/>
      <c r="K32" s="386"/>
      <c r="L32" s="389"/>
      <c r="M32" s="392"/>
      <c r="N32" s="280" t="s">
        <v>380</v>
      </c>
      <c r="O32" s="212"/>
      <c r="P32" s="365" t="s">
        <v>154</v>
      </c>
      <c r="Q32" s="365"/>
      <c r="R32" s="171"/>
      <c r="S32" s="171"/>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7"/>
      <c r="BO32" s="251"/>
      <c r="BP32" s="250"/>
      <c r="BQ32" s="250"/>
      <c r="BR32" s="250"/>
      <c r="BS32" s="250"/>
      <c r="BT32" s="250"/>
      <c r="BU32" s="250"/>
      <c r="BY32" s="250"/>
    </row>
    <row r="33" spans="1:78">
      <c r="A33" s="43" t="s">
        <v>385</v>
      </c>
    </row>
    <row r="34" spans="1:78" s="44" customFormat="1" ht="11.25" customHeight="1">
      <c r="C34" s="97"/>
      <c r="D34"/>
      <c r="E34"/>
      <c r="F34"/>
      <c r="G34"/>
      <c r="H34"/>
      <c r="I34"/>
      <c r="J34"/>
      <c r="K34"/>
      <c r="L34"/>
      <c r="M34"/>
      <c r="N34" s="441"/>
      <c r="O34" s="396"/>
      <c r="P34" s="453"/>
      <c r="Q34" s="402"/>
      <c r="R34" s="361"/>
      <c r="S34" s="361"/>
      <c r="T34" s="361"/>
      <c r="U34" s="361"/>
      <c r="V34" s="361"/>
      <c r="W34" s="361"/>
      <c r="X34" s="361"/>
      <c r="Y34" s="361"/>
      <c r="Z34" s="361"/>
      <c r="AA34" s="361"/>
      <c r="AB34" s="361"/>
      <c r="AC34" s="361"/>
      <c r="AD34" s="361"/>
      <c r="AE34" s="209"/>
      <c r="AF34" s="220">
        <v>0</v>
      </c>
      <c r="AG34" s="219" t="s">
        <v>308</v>
      </c>
      <c r="AH34" s="219"/>
      <c r="AI34" s="219"/>
      <c r="AJ34" s="219"/>
      <c r="AK34" s="219"/>
      <c r="AL34" s="219"/>
      <c r="AM34" s="219"/>
      <c r="AN34" s="219"/>
      <c r="AO34" s="219"/>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5"/>
      <c r="BO34" s="251"/>
      <c r="BP34" s="364"/>
      <c r="BQ34" s="364"/>
      <c r="BR34" s="364"/>
      <c r="BS34" s="250"/>
      <c r="BT34" s="364"/>
      <c r="BU34" s="364"/>
      <c r="BV34" s="364"/>
      <c r="BW34" s="364"/>
      <c r="BX34" s="364"/>
      <c r="BY34" s="250"/>
    </row>
    <row r="35" spans="1:78" s="44" customFormat="1" ht="14.25">
      <c r="C35" s="97"/>
      <c r="D35"/>
      <c r="E35"/>
      <c r="F35"/>
      <c r="G35"/>
      <c r="H35"/>
      <c r="I35"/>
      <c r="J35"/>
      <c r="K35"/>
      <c r="L35"/>
      <c r="M35"/>
      <c r="N35" s="394"/>
      <c r="O35" s="397"/>
      <c r="P35" s="454"/>
      <c r="Q35" s="403"/>
      <c r="R35" s="362"/>
      <c r="S35" s="362"/>
      <c r="T35" s="362"/>
      <c r="U35" s="362"/>
      <c r="V35" s="362"/>
      <c r="W35" s="362"/>
      <c r="X35" s="362"/>
      <c r="Y35" s="362"/>
      <c r="Z35" s="362"/>
      <c r="AA35" s="362"/>
      <c r="AB35" s="362"/>
      <c r="AC35" s="362"/>
      <c r="AD35" s="362"/>
      <c r="AE35" s="193"/>
      <c r="AF35" s="217"/>
      <c r="AG35" s="299"/>
      <c r="AH35" s="300"/>
      <c r="AI35" s="301"/>
      <c r="AJ35" s="221"/>
      <c r="AK35" s="221"/>
      <c r="AL35" s="221"/>
      <c r="AM35" s="221"/>
      <c r="AN35" s="221"/>
      <c r="AO35" s="221"/>
      <c r="AP35" s="302"/>
      <c r="AQ35" s="195">
        <f>SUM(AT35,AW35,AZ35,BC35,BF35,BI35,BL35)</f>
        <v>0</v>
      </c>
      <c r="AR35" s="197">
        <f>SUM(AT35,AX35,BA35,BD35,BG35,BJ35,BM35)</f>
        <v>0</v>
      </c>
      <c r="AS35" s="195">
        <f>AQ35-AR35</f>
        <v>0</v>
      </c>
      <c r="AT35" s="244"/>
      <c r="AU35" s="159"/>
      <c r="AV35" s="244"/>
      <c r="AW35" s="159"/>
      <c r="AX35" s="244"/>
      <c r="AY35" s="194">
        <f>AW35-AX35</f>
        <v>0</v>
      </c>
      <c r="AZ35" s="160"/>
      <c r="BA35" s="244"/>
      <c r="BB35" s="194">
        <f>AZ35-BA35</f>
        <v>0</v>
      </c>
      <c r="BC35" s="159"/>
      <c r="BD35" s="244"/>
      <c r="BE35" s="194">
        <f>BC35-BD35</f>
        <v>0</v>
      </c>
      <c r="BF35" s="159"/>
      <c r="BG35" s="244"/>
      <c r="BH35" s="194">
        <f>BF35-BG35</f>
        <v>0</v>
      </c>
      <c r="BI35" s="159"/>
      <c r="BJ35" s="244"/>
      <c r="BK35" s="194">
        <f>BI35-BJ35</f>
        <v>0</v>
      </c>
      <c r="BL35" s="159"/>
      <c r="BM35" s="244"/>
      <c r="BN35" s="195">
        <f>BL35-BM35</f>
        <v>0</v>
      </c>
      <c r="BO35" s="251">
        <v>0</v>
      </c>
      <c r="BP35" s="364"/>
      <c r="BQ35" s="364"/>
      <c r="BR35" s="364"/>
      <c r="BS35" s="249" t="str">
        <f>AG35 &amp; BO35</f>
        <v>0</v>
      </c>
      <c r="BT35" s="364"/>
      <c r="BU35" s="364"/>
      <c r="BV35" s="364"/>
      <c r="BW35" s="364"/>
      <c r="BX35" s="364"/>
      <c r="BY35" s="249" t="str">
        <f>AG35&amp;AH35</f>
        <v/>
      </c>
      <c r="BZ35" s="250"/>
    </row>
    <row r="36" spans="1:78" s="44" customFormat="1" ht="15" customHeight="1">
      <c r="C36" s="97"/>
      <c r="D36"/>
      <c r="E36"/>
      <c r="F36"/>
      <c r="G36"/>
      <c r="H36"/>
      <c r="I36"/>
      <c r="J36"/>
      <c r="K36"/>
      <c r="L36"/>
      <c r="M36"/>
      <c r="N36" s="394"/>
      <c r="O36" s="398"/>
      <c r="P36" s="455"/>
      <c r="Q36" s="404"/>
      <c r="R36" s="363"/>
      <c r="S36" s="363"/>
      <c r="T36" s="363"/>
      <c r="U36" s="363"/>
      <c r="V36" s="363"/>
      <c r="W36" s="363"/>
      <c r="X36" s="363"/>
      <c r="Y36" s="363"/>
      <c r="Z36" s="363"/>
      <c r="AA36" s="363"/>
      <c r="AB36" s="363"/>
      <c r="AC36" s="363"/>
      <c r="AD36" s="363"/>
      <c r="AE36" s="279" t="s">
        <v>379</v>
      </c>
      <c r="AF36" s="216"/>
      <c r="AG36" s="223"/>
      <c r="AH36" s="223"/>
      <c r="AI36" s="223"/>
      <c r="AJ36" s="223"/>
      <c r="AK36" s="223"/>
      <c r="AL36" s="223"/>
      <c r="AM36" s="223"/>
      <c r="AN36" s="223"/>
      <c r="AO36" s="223"/>
      <c r="AP36" s="168"/>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70"/>
      <c r="BO36" s="251"/>
      <c r="BP36" s="364"/>
      <c r="BQ36" s="364"/>
      <c r="BR36" s="364"/>
      <c r="BS36" s="250"/>
      <c r="BT36" s="364"/>
      <c r="BU36" s="364"/>
      <c r="BV36" s="364"/>
      <c r="BW36" s="364"/>
      <c r="BX36" s="364"/>
      <c r="BY36" s="250"/>
    </row>
  </sheetData>
  <mergeCells count="156">
    <mergeCell ref="R34:R36"/>
    <mergeCell ref="S34:S36"/>
    <mergeCell ref="T34:T36"/>
    <mergeCell ref="U34:U36"/>
    <mergeCell ref="V34:V36"/>
    <mergeCell ref="BX34:BX36"/>
    <mergeCell ref="BR34:BR36"/>
    <mergeCell ref="BT34:BT36"/>
    <mergeCell ref="BU34:BU36"/>
    <mergeCell ref="BV34:BV36"/>
    <mergeCell ref="BW34:BW36"/>
    <mergeCell ref="AB34:AB36"/>
    <mergeCell ref="AC34:AC36"/>
    <mergeCell ref="AD34:AD36"/>
    <mergeCell ref="BP34:BP36"/>
    <mergeCell ref="BQ34:BQ36"/>
    <mergeCell ref="P32:Q32"/>
    <mergeCell ref="N34:N36"/>
    <mergeCell ref="O34:O36"/>
    <mergeCell ref="P34:P36"/>
    <mergeCell ref="Q34:Q36"/>
    <mergeCell ref="BT29:BT31"/>
    <mergeCell ref="BU29:BU31"/>
    <mergeCell ref="BV29:BV31"/>
    <mergeCell ref="BW29:BW31"/>
    <mergeCell ref="S29:S31"/>
    <mergeCell ref="T29:T31"/>
    <mergeCell ref="U29:U31"/>
    <mergeCell ref="V29:V31"/>
    <mergeCell ref="W29:W31"/>
    <mergeCell ref="N29:N31"/>
    <mergeCell ref="O29:O31"/>
    <mergeCell ref="P29:P31"/>
    <mergeCell ref="Q29:Q31"/>
    <mergeCell ref="R29:R31"/>
    <mergeCell ref="W34:W36"/>
    <mergeCell ref="X34:X36"/>
    <mergeCell ref="Y34:Y36"/>
    <mergeCell ref="Z34:Z36"/>
    <mergeCell ref="AA34:AA36"/>
    <mergeCell ref="BX29:BX31"/>
    <mergeCell ref="AC29:AC31"/>
    <mergeCell ref="AD29:AD31"/>
    <mergeCell ref="BP29:BP31"/>
    <mergeCell ref="BQ29:BQ31"/>
    <mergeCell ref="BR29:BR31"/>
    <mergeCell ref="X29:X31"/>
    <mergeCell ref="Y29:Y31"/>
    <mergeCell ref="Z29:Z31"/>
    <mergeCell ref="AA29:AA31"/>
    <mergeCell ref="AB29:AB31"/>
    <mergeCell ref="I28:I32"/>
    <mergeCell ref="J28:J32"/>
    <mergeCell ref="K28:K32"/>
    <mergeCell ref="L28:L32"/>
    <mergeCell ref="M28:M32"/>
    <mergeCell ref="D28:D32"/>
    <mergeCell ref="E28:E32"/>
    <mergeCell ref="F28:F32"/>
    <mergeCell ref="G28:G32"/>
    <mergeCell ref="H28:H32"/>
    <mergeCell ref="P8:Q8"/>
    <mergeCell ref="P5:P7"/>
    <mergeCell ref="AB5:AB7"/>
    <mergeCell ref="AC5:AC7"/>
    <mergeCell ref="AD10:AD12"/>
    <mergeCell ref="L4:L8"/>
    <mergeCell ref="M4:M8"/>
    <mergeCell ref="P10:P12"/>
    <mergeCell ref="Q10:Q12"/>
    <mergeCell ref="Q5:Q7"/>
    <mergeCell ref="Z10:Z12"/>
    <mergeCell ref="AA10:AA12"/>
    <mergeCell ref="AB10:AB12"/>
    <mergeCell ref="X10:X12"/>
    <mergeCell ref="W5:W7"/>
    <mergeCell ref="BR5:BR7"/>
    <mergeCell ref="BR10:BR12"/>
    <mergeCell ref="BP10:BP12"/>
    <mergeCell ref="BP5:BP7"/>
    <mergeCell ref="BQ5:BQ7"/>
    <mergeCell ref="BQ10:BQ12"/>
    <mergeCell ref="R10:R12"/>
    <mergeCell ref="S10:S12"/>
    <mergeCell ref="AD5:AD7"/>
    <mergeCell ref="X5:X7"/>
    <mergeCell ref="Y5:Y7"/>
    <mergeCell ref="Z5:Z7"/>
    <mergeCell ref="AA5:AA7"/>
    <mergeCell ref="T10:T12"/>
    <mergeCell ref="U10:U12"/>
    <mergeCell ref="V10:V12"/>
    <mergeCell ref="W10:W12"/>
    <mergeCell ref="V5:V7"/>
    <mergeCell ref="AC10:AC12"/>
    <mergeCell ref="R5:R7"/>
    <mergeCell ref="S5:S7"/>
    <mergeCell ref="T5:T7"/>
    <mergeCell ref="U5:U7"/>
    <mergeCell ref="Y10:Y12"/>
    <mergeCell ref="D4:D8"/>
    <mergeCell ref="E4:E8"/>
    <mergeCell ref="F4:F8"/>
    <mergeCell ref="G4:G8"/>
    <mergeCell ref="K4:K8"/>
    <mergeCell ref="H4:H8"/>
    <mergeCell ref="O5:O7"/>
    <mergeCell ref="O10:O12"/>
    <mergeCell ref="N10:N12"/>
    <mergeCell ref="N5:N7"/>
    <mergeCell ref="I4:I8"/>
    <mergeCell ref="J4:J8"/>
    <mergeCell ref="D23:D24"/>
    <mergeCell ref="E23:E24"/>
    <mergeCell ref="F23:F24"/>
    <mergeCell ref="G23:G24"/>
    <mergeCell ref="K23:K24"/>
    <mergeCell ref="L23:L24"/>
    <mergeCell ref="M23:M24"/>
    <mergeCell ref="O23:O24"/>
    <mergeCell ref="P23:P24"/>
    <mergeCell ref="H23:J23"/>
    <mergeCell ref="Q23:Q24"/>
    <mergeCell ref="AF23:AF24"/>
    <mergeCell ref="AG23:AG24"/>
    <mergeCell ref="BL23:BL24"/>
    <mergeCell ref="BM23:BM24"/>
    <mergeCell ref="BN23:BN24"/>
    <mergeCell ref="AP23:AP24"/>
    <mergeCell ref="AQ23:AQ24"/>
    <mergeCell ref="AR23:AR24"/>
    <mergeCell ref="AS23:AS24"/>
    <mergeCell ref="AT23:AT24"/>
    <mergeCell ref="AV23:AV24"/>
    <mergeCell ref="AH23:AH24"/>
    <mergeCell ref="AI23:AI24"/>
    <mergeCell ref="AL23:AL24"/>
    <mergeCell ref="AM23:AM24"/>
    <mergeCell ref="AN23:AN24"/>
    <mergeCell ref="AO23:AO24"/>
    <mergeCell ref="R23:R24"/>
    <mergeCell ref="S23:Y23"/>
    <mergeCell ref="Z23:AD23"/>
    <mergeCell ref="AJ23:AJ24"/>
    <mergeCell ref="AK23:AK24"/>
    <mergeCell ref="AU23:AU24"/>
    <mergeCell ref="BT5:BT7"/>
    <mergeCell ref="BU5:BU7"/>
    <mergeCell ref="BV5:BV7"/>
    <mergeCell ref="BW5:BW7"/>
    <mergeCell ref="BX5:BX7"/>
    <mergeCell ref="BT10:BT12"/>
    <mergeCell ref="BU10:BU12"/>
    <mergeCell ref="BV10:BV12"/>
    <mergeCell ref="BW10:BW12"/>
    <mergeCell ref="BX10:BX12"/>
  </mergeCells>
  <phoneticPr fontId="0" type="noConversion"/>
  <dataValidations disablePrompts="1" xWindow="609" yWindow="778" count="13">
    <dataValidation type="textLength" operator="lessThanOrEqual" allowBlank="1" showInputMessage="1" showErrorMessage="1" errorTitle="Ошибка" error="Допускается ввод не более 900 символов!" sqref="F2 G10:J12 AE11:AF11 G14:J14 AI14:AO14 E18 AE6:AF6 G4:G7 AI6:AO6 AI11:AO11 AI35:AO35 AE30:AF30 G28:G31 AI30:AO30 G34:J36 AE35:AF35 AE14:AF14 G16:J16 AI16:AO16 AE16:AF16">
      <formula1>900</formula1>
    </dataValidation>
    <dataValidation type="list" allowBlank="1" showInputMessage="1" showErrorMessage="1" errorTitle="Ошибка" error="Выберите значение из списка" prompt="Выберите значение из списка" sqref="AP6 AP11 AH14 AP16 AH11 AH35 AP30 AH30 AP35 AP14 AH16 AH6">
      <formula1>logical</formula1>
    </dataValidation>
    <dataValidation type="decimal" allowBlank="1" showInputMessage="1" showErrorMessage="1" error="Введите действительное число от 0 до 100!" sqref="N10:O10 M34:M36 M4:M8 M10:M12 N5:O5 N29:O29 M28:M32 N34:O34 M14 M16">
      <formula1>0</formula1>
      <formula2>100</formula2>
    </dataValidation>
    <dataValidation type="whole" allowBlank="1" showErrorMessage="1" errorTitle="Ошибка" error="Допускается ввод только неотрицательных целых чисел!" sqref="K10:K12 K34:K36 K4:K8 K28:K32 K14 K16">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L10:L12 L34:L36 L4:L8 L28:L32 L14 L16">
      <formula1>all_year_list</formula1>
    </dataValidation>
    <dataValidation type="list" allowBlank="1" showInputMessage="1" showErrorMessage="1" errorTitle="Ошибка" error="Выберите значение из списка" prompt="Выберите значение из списка" sqref="E10:E12 E34:E36 E4:E8 E28:E32 E14 E16">
      <formula1>group_list</formula1>
    </dataValidation>
    <dataValidation type="list" allowBlank="1" showInputMessage="1" showErrorMessage="1" errorTitle="Ошибка" error="Выберите значение из списка" prompt="Выберите значение из списка" sqref="AG14 AG11 AG6">
      <formula1>ist_fin_list</formula1>
    </dataValidation>
    <dataValidation type="decimal" allowBlank="1" showErrorMessage="1" errorTitle="Ошибка" error="Допускается ввод только неотрицательных чисел!" sqref="BI14:BJ14 BL11:BM11 BL6:BM6 BI11:BJ11 BF14:BG14 BI6:BJ6 BC14:BD14 BF11:BG11 BF6:BG6 AZ14:BA14 BC11:BD11 BC6:BD6 AZ11:BA11 AZ6:BA6 BL30:BM30 BI30:BJ30 BF30:BG30 BC30:BD30 AZ30:BA30 BL35:BM35 BI35:BJ35 BF35:BG35 BC35:BD35 AZ35:BA35 BL14:BM14 BI16:BJ16 BF16:BG16 BC16:BD16 AZ16:BA16 BL16:BM16 AT14:AX14 AT16:AX16 AT30:AX30 AT6:AX6 AT11:AX11 AT35:AX35">
      <formula1>0</formula1>
      <formula2>9.99999999999999E+23</formula2>
    </dataValidation>
    <dataValidation type="list" operator="lessThanOrEqual" allowBlank="1" showInputMessage="1" showErrorMessage="1" errorTitle="Ошибка" error="Необходимо выбрать значение из списка!" promptTitle="Ввод" prompt="Необходимо указать принадлежность объекта к инфраструктуре ТЭ или его отсутствие" sqref="P5:P7 P29:P31 P34:P36">
      <formula1>"да,без привязки к объекту"</formula1>
    </dataValidation>
    <dataValidation operator="lessThanOrEqual" allowBlank="1" errorTitle="Ошибка" error="Необходимо выбрать значение из списка!" promptTitle="Ввод" prompt="Необходимо указать принадлежность объекта к инфраструктуре ТЭ или его отсутствие" sqref="P10:P12"/>
    <dataValidation allowBlank="1" showInputMessage="1" showErrorMessage="1" promptTitle="Ввод" prompt="Для выбора необходимо два раза нажать левую кнопку мыши!" sqref="H4:J8 H28:J32"/>
    <dataValidation allowBlank="1" showInputMessage="1" showErrorMessage="1" promptTitle="Ввод" prompt="Для выбора объекта необходимо два раза нажать левую кнопку мыши!" sqref="Q10:Q12 Q5:Q7 Q29:Q31 Q34:Q36"/>
    <dataValidation type="list" allowBlank="1" showInputMessage="1" showErrorMessage="1" errorTitle="Ошибка" error="Выберите значение из списка" prompt="Выберите значение из списка" sqref="E20">
      <formula1>MR_LIST</formula1>
    </dataValidation>
  </dataValidations>
  <pageMargins left="0.75" right="0.75" top="1" bottom="1" header="0.5" footer="0.5"/>
  <pageSetup paperSize="9" orientation="portrait" horizontalDpi="0" verticalDpi="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0">
    <tabColor indexed="47"/>
  </sheetPr>
  <dimension ref="A1"/>
  <sheetViews>
    <sheetView showGridLines="0" workbookViewId="0"/>
  </sheetViews>
  <sheetFormatPr defaultColWidth="9.140625" defaultRowHeight="15"/>
  <cols>
    <col min="1" max="16384" width="9.140625" style="155"/>
  </cols>
  <sheetData/>
  <sheetProtection formatColumns="0" formatRows="0"/>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1">
    <tabColor indexed="47"/>
  </sheetPr>
  <dimension ref="A1"/>
  <sheetViews>
    <sheetView showGridLines="0" workbookViewId="0"/>
  </sheetViews>
  <sheetFormatPr defaultRowHeight="11.25"/>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2">
    <tabColor indexed="47"/>
  </sheetPr>
  <dimension ref="A1"/>
  <sheetViews>
    <sheetView workbookViewId="0"/>
  </sheetViews>
  <sheetFormatPr defaultRowHeight="11.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com">
    <tabColor indexed="47"/>
  </sheetPr>
  <dimension ref="A1"/>
  <sheetViews>
    <sheetView zoomScaleNormal="100" workbookViewId="0"/>
  </sheetViews>
  <sheetFormatPr defaultColWidth="9.140625" defaultRowHeight="11.25"/>
  <cols>
    <col min="1" max="16384" width="9.140625" style="116"/>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ColWidth="9.140625" defaultRowHeight="11.25"/>
  <cols>
    <col min="1" max="16384" width="9.140625" style="2"/>
  </cols>
  <sheetData/>
  <sheetProtection formatColumns="0" formatRows="0"/>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ill">
    <tabColor indexed="47"/>
  </sheetPr>
  <dimension ref="A1"/>
  <sheetViews>
    <sheetView showGridLines="0" zoomScaleNormal="100" workbookViewId="0"/>
  </sheetViews>
  <sheetFormatPr defaultRowHeight="11.25"/>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workbookViewId="0"/>
  </sheetViews>
  <sheetFormatPr defaultColWidth="9.140625" defaultRowHeight="11.25"/>
  <cols>
    <col min="1" max="16384" width="9.140625" style="222"/>
  </cols>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85" workbookViewId="0"/>
  </sheetViews>
  <sheetFormatPr defaultRowHeight="11.25"/>
  <cols>
    <col min="1" max="1" width="49.140625" customWidth="1"/>
  </cols>
  <sheetData>
    <row r="1" spans="1:1" ht="12">
      <c r="A1" s="15"/>
    </row>
    <row r="2" spans="1:1" ht="12">
      <c r="A2" s="15"/>
    </row>
    <row r="3" spans="1:1" ht="12">
      <c r="A3" s="15"/>
    </row>
    <row r="4" spans="1:1" ht="12">
      <c r="A4" s="15"/>
    </row>
    <row r="5" spans="1:1" ht="12">
      <c r="A5" s="15"/>
    </row>
    <row r="6" spans="1:1" ht="12">
      <c r="A6" s="15"/>
    </row>
    <row r="7" spans="1:1" ht="12">
      <c r="A7" s="15"/>
    </row>
    <row r="8" spans="1:1" ht="12">
      <c r="A8" s="15"/>
    </row>
    <row r="9" spans="1:1" ht="12">
      <c r="A9" s="15"/>
    </row>
    <row r="10" spans="1:1" ht="12">
      <c r="A10" s="15"/>
    </row>
    <row r="11" spans="1:1" ht="12">
      <c r="A11" s="15"/>
    </row>
    <row r="12" spans="1:1" ht="12">
      <c r="A12" s="15"/>
    </row>
    <row r="13" spans="1:1" ht="12">
      <c r="A13" s="15"/>
    </row>
    <row r="14" spans="1:1" ht="12">
      <c r="A14" s="15"/>
    </row>
    <row r="15" spans="1:1" ht="12">
      <c r="A15" s="15"/>
    </row>
    <row r="16" spans="1:1" ht="12">
      <c r="A16" s="15"/>
    </row>
    <row r="17" spans="1:1" ht="12">
      <c r="A17" s="15"/>
    </row>
    <row r="18" spans="1:1" ht="12">
      <c r="A18" s="15"/>
    </row>
    <row r="19" spans="1:1" ht="12">
      <c r="A19" s="15"/>
    </row>
  </sheetData>
  <sheetProtection formatColumns="0" formatRows="0"/>
  <phoneticPr fontId="1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40625" defaultRowHeight="11.25"/>
  <cols>
    <col min="1" max="1" width="9.140625" style="16"/>
    <col min="2" max="16384" width="9.140625" style="17"/>
  </cols>
  <sheetData/>
  <sheetProtection formatColumns="0" formatRows="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7"/>
  <sheetViews>
    <sheetView showGridLines="0" showRowColHeaders="0" zoomScaleNormal="100" workbookViewId="0"/>
  </sheetViews>
  <sheetFormatPr defaultColWidth="9.140625" defaultRowHeight="11.25"/>
  <cols>
    <col min="1" max="1" width="30.7109375" style="11" customWidth="1"/>
    <col min="2" max="2" width="80.7109375" style="11" customWidth="1"/>
    <col min="3" max="3" width="30.7109375" style="11" customWidth="1"/>
    <col min="4" max="16384" width="9.140625" style="10"/>
  </cols>
  <sheetData>
    <row r="1" spans="1:4" ht="24" customHeight="1">
      <c r="A1" s="149" t="s">
        <v>142</v>
      </c>
      <c r="B1" s="149" t="s">
        <v>143</v>
      </c>
      <c r="C1" s="149" t="s">
        <v>144</v>
      </c>
      <c r="D1" s="9"/>
    </row>
    <row r="2" spans="1:4">
      <c r="A2" s="309">
        <v>43984.683587962965</v>
      </c>
      <c r="B2" s="11" t="s">
        <v>395</v>
      </c>
      <c r="C2" s="11" t="s">
        <v>396</v>
      </c>
    </row>
    <row r="3" spans="1:4">
      <c r="A3" s="309">
        <v>43984.683599537035</v>
      </c>
      <c r="B3" s="11" t="s">
        <v>397</v>
      </c>
      <c r="C3" s="11" t="s">
        <v>396</v>
      </c>
    </row>
    <row r="4" spans="1:4">
      <c r="A4" s="309">
        <v>43984.683854166666</v>
      </c>
      <c r="B4" s="11" t="s">
        <v>395</v>
      </c>
      <c r="C4" s="11" t="s">
        <v>396</v>
      </c>
    </row>
    <row r="5" spans="1:4">
      <c r="A5" s="309">
        <v>43984.683865740742</v>
      </c>
      <c r="B5" s="11" t="s">
        <v>397</v>
      </c>
      <c r="C5" s="11" t="s">
        <v>396</v>
      </c>
    </row>
    <row r="6" spans="1:4">
      <c r="A6" s="309">
        <v>43985.367511574077</v>
      </c>
      <c r="B6" s="11" t="s">
        <v>395</v>
      </c>
      <c r="C6" s="11" t="s">
        <v>396</v>
      </c>
    </row>
    <row r="7" spans="1:4">
      <c r="A7" s="309">
        <v>43985.367523148147</v>
      </c>
      <c r="B7" s="11" t="s">
        <v>397</v>
      </c>
      <c r="C7" s="11" t="s">
        <v>396</v>
      </c>
    </row>
    <row r="8" spans="1:4">
      <c r="A8" s="309">
        <v>43986.389444444445</v>
      </c>
      <c r="B8" s="11" t="s">
        <v>395</v>
      </c>
      <c r="C8" s="11" t="s">
        <v>396</v>
      </c>
    </row>
    <row r="9" spans="1:4">
      <c r="A9" s="309">
        <v>43986.389456018522</v>
      </c>
      <c r="B9" s="11" t="s">
        <v>397</v>
      </c>
      <c r="C9" s="11" t="s">
        <v>396</v>
      </c>
    </row>
    <row r="10" spans="1:4">
      <c r="A10" s="309">
        <v>44329.500810185185</v>
      </c>
      <c r="B10" s="11" t="s">
        <v>395</v>
      </c>
      <c r="C10" s="11" t="s">
        <v>396</v>
      </c>
    </row>
    <row r="11" spans="1:4">
      <c r="A11" s="309">
        <v>44329.500821759262</v>
      </c>
      <c r="B11" s="11" t="s">
        <v>397</v>
      </c>
      <c r="C11" s="11" t="s">
        <v>396</v>
      </c>
    </row>
    <row r="12" spans="1:4">
      <c r="A12" s="309">
        <v>44350.681238425925</v>
      </c>
      <c r="B12" s="11" t="s">
        <v>395</v>
      </c>
      <c r="C12" s="11" t="s">
        <v>396</v>
      </c>
    </row>
    <row r="13" spans="1:4">
      <c r="A13" s="309">
        <v>44350.681250000001</v>
      </c>
      <c r="B13" s="11" t="s">
        <v>397</v>
      </c>
      <c r="C13" s="11" t="s">
        <v>396</v>
      </c>
    </row>
    <row r="14" spans="1:4">
      <c r="A14" s="309">
        <v>44351.641250000001</v>
      </c>
      <c r="B14" s="11" t="s">
        <v>395</v>
      </c>
      <c r="C14" s="11" t="s">
        <v>396</v>
      </c>
    </row>
    <row r="15" spans="1:4">
      <c r="A15" s="309">
        <v>44351.641261574077</v>
      </c>
      <c r="B15" s="11" t="s">
        <v>397</v>
      </c>
      <c r="C15" s="11" t="s">
        <v>396</v>
      </c>
    </row>
    <row r="16" spans="1:4">
      <c r="A16" s="309">
        <v>45358.602534722224</v>
      </c>
      <c r="B16" s="11" t="s">
        <v>395</v>
      </c>
      <c r="C16" s="11" t="s">
        <v>396</v>
      </c>
    </row>
    <row r="17" spans="1:3">
      <c r="A17" s="309">
        <v>45358.602546296293</v>
      </c>
      <c r="B17" s="11" t="s">
        <v>397</v>
      </c>
      <c r="C17" s="11" t="s">
        <v>396</v>
      </c>
    </row>
  </sheetData>
  <sheetProtection password="FA9C" sheet="1" objects="1" scenarios="1" formatColumns="0" formatRows="0" autoFilter="0"/>
  <phoneticPr fontId="7"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94"/>
  </cols>
  <sheetData/>
  <sheetProtection formatColumns="0" formatRows="0"/>
  <phoneticPr fontId="11"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40625" defaultRowHeight="11.25"/>
  <cols>
    <col min="1" max="26" width="9.140625" style="7"/>
    <col min="27" max="36" width="9.140625" style="8"/>
    <col min="37" max="16384" width="9.140625" style="7"/>
  </cols>
  <sheetData/>
  <sheetProtection formatColumns="0" formatRows="0"/>
  <phoneticPr fontId="11" type="noConversion"/>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40625" defaultRowHeight="11.25"/>
  <cols>
    <col min="1" max="16384" width="9.140625" style="95"/>
  </cols>
  <sheetData/>
  <sheetProtection formatColumns="0" formatRows="0"/>
  <phoneticPr fontId="11" type="noConversion"/>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ColWidth="9.140625" defaultRowHeight="11.25"/>
  <cols>
    <col min="1" max="16384" width="9.140625" style="143"/>
  </cols>
  <sheetData/>
  <phoneticPr fontId="10" type="noConversion"/>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MO">
    <tabColor indexed="47"/>
  </sheetPr>
  <dimension ref="A1:F320"/>
  <sheetViews>
    <sheetView showGridLines="0" workbookViewId="0"/>
  </sheetViews>
  <sheetFormatPr defaultRowHeight="11.25"/>
  <cols>
    <col min="1" max="2" width="36.7109375" customWidth="1"/>
    <col min="3" max="3" width="12.7109375" customWidth="1"/>
    <col min="4" max="4" width="50.7109375" customWidth="1"/>
    <col min="5" max="5" width="36.7109375" customWidth="1"/>
    <col min="6" max="6" width="12.7109375" customWidth="1"/>
  </cols>
  <sheetData>
    <row r="1" spans="1:6">
      <c r="A1" t="s">
        <v>1226</v>
      </c>
      <c r="B1" t="s">
        <v>1227</v>
      </c>
      <c r="C1" t="s">
        <v>1228</v>
      </c>
      <c r="D1" t="s">
        <v>1229</v>
      </c>
      <c r="E1" t="s">
        <v>1226</v>
      </c>
      <c r="F1" t="s">
        <v>1230</v>
      </c>
    </row>
    <row r="2" spans="1:6">
      <c r="A2" t="s">
        <v>542</v>
      </c>
      <c r="B2" t="s">
        <v>542</v>
      </c>
      <c r="C2" t="s">
        <v>543</v>
      </c>
      <c r="D2" t="s">
        <v>544</v>
      </c>
      <c r="E2" t="s">
        <v>542</v>
      </c>
      <c r="F2" t="s">
        <v>1183</v>
      </c>
    </row>
    <row r="3" spans="1:6">
      <c r="A3" t="s">
        <v>542</v>
      </c>
      <c r="B3" t="s">
        <v>545</v>
      </c>
      <c r="C3" t="s">
        <v>546</v>
      </c>
      <c r="D3" t="s">
        <v>547</v>
      </c>
      <c r="E3" t="s">
        <v>566</v>
      </c>
      <c r="F3" t="s">
        <v>1184</v>
      </c>
    </row>
    <row r="4" spans="1:6">
      <c r="A4" t="s">
        <v>542</v>
      </c>
      <c r="B4" t="s">
        <v>548</v>
      </c>
      <c r="C4" t="s">
        <v>549</v>
      </c>
      <c r="D4" t="s">
        <v>547</v>
      </c>
      <c r="E4" t="s">
        <v>592</v>
      </c>
      <c r="F4" t="s">
        <v>1185</v>
      </c>
    </row>
    <row r="5" spans="1:6">
      <c r="A5" t="s">
        <v>542</v>
      </c>
      <c r="B5" t="s">
        <v>550</v>
      </c>
      <c r="C5" t="s">
        <v>551</v>
      </c>
      <c r="D5" t="s">
        <v>547</v>
      </c>
      <c r="E5" t="s">
        <v>614</v>
      </c>
      <c r="F5" t="s">
        <v>1186</v>
      </c>
    </row>
    <row r="6" spans="1:6">
      <c r="A6" t="s">
        <v>542</v>
      </c>
      <c r="B6" t="s">
        <v>552</v>
      </c>
      <c r="C6" t="s">
        <v>553</v>
      </c>
      <c r="D6" t="s">
        <v>547</v>
      </c>
      <c r="E6" t="s">
        <v>638</v>
      </c>
      <c r="F6" t="s">
        <v>1187</v>
      </c>
    </row>
    <row r="7" spans="1:6">
      <c r="A7" t="s">
        <v>542</v>
      </c>
      <c r="B7" t="s">
        <v>554</v>
      </c>
      <c r="C7" t="s">
        <v>555</v>
      </c>
      <c r="D7" t="s">
        <v>547</v>
      </c>
      <c r="E7" t="s">
        <v>666</v>
      </c>
      <c r="F7" t="s">
        <v>1188</v>
      </c>
    </row>
    <row r="8" spans="1:6">
      <c r="A8" t="s">
        <v>542</v>
      </c>
      <c r="B8" t="s">
        <v>556</v>
      </c>
      <c r="C8" t="s">
        <v>557</v>
      </c>
      <c r="D8" t="s">
        <v>547</v>
      </c>
      <c r="E8" t="s">
        <v>688</v>
      </c>
      <c r="F8" t="s">
        <v>1189</v>
      </c>
    </row>
    <row r="9" spans="1:6">
      <c r="A9" t="s">
        <v>542</v>
      </c>
      <c r="B9" t="s">
        <v>558</v>
      </c>
      <c r="C9" t="s">
        <v>559</v>
      </c>
      <c r="D9" t="s">
        <v>547</v>
      </c>
      <c r="E9" t="s">
        <v>691</v>
      </c>
      <c r="F9" t="s">
        <v>1190</v>
      </c>
    </row>
    <row r="10" spans="1:6">
      <c r="A10" t="s">
        <v>542</v>
      </c>
      <c r="B10" t="s">
        <v>560</v>
      </c>
      <c r="C10" t="s">
        <v>561</v>
      </c>
      <c r="D10" t="s">
        <v>547</v>
      </c>
      <c r="E10" t="s">
        <v>693</v>
      </c>
      <c r="F10" t="s">
        <v>1191</v>
      </c>
    </row>
    <row r="11" spans="1:6">
      <c r="A11" t="s">
        <v>542</v>
      </c>
      <c r="B11" t="s">
        <v>562</v>
      </c>
      <c r="C11" t="s">
        <v>563</v>
      </c>
      <c r="D11" t="s">
        <v>547</v>
      </c>
      <c r="E11" t="s">
        <v>695</v>
      </c>
      <c r="F11" t="s">
        <v>1192</v>
      </c>
    </row>
    <row r="12" spans="1:6">
      <c r="A12" t="s">
        <v>542</v>
      </c>
      <c r="B12" t="s">
        <v>564</v>
      </c>
      <c r="C12" t="s">
        <v>565</v>
      </c>
      <c r="D12" t="s">
        <v>547</v>
      </c>
      <c r="E12" t="s">
        <v>697</v>
      </c>
      <c r="F12" t="s">
        <v>1193</v>
      </c>
    </row>
    <row r="13" spans="1:6">
      <c r="A13" t="s">
        <v>566</v>
      </c>
      <c r="B13" t="s">
        <v>568</v>
      </c>
      <c r="C13" t="s">
        <v>569</v>
      </c>
      <c r="D13" t="s">
        <v>547</v>
      </c>
      <c r="E13" t="s">
        <v>699</v>
      </c>
      <c r="F13" t="s">
        <v>1194</v>
      </c>
    </row>
    <row r="14" spans="1:6">
      <c r="A14" t="s">
        <v>566</v>
      </c>
      <c r="B14" t="s">
        <v>566</v>
      </c>
      <c r="C14" t="s">
        <v>567</v>
      </c>
      <c r="D14" t="s">
        <v>544</v>
      </c>
      <c r="E14" t="s">
        <v>701</v>
      </c>
      <c r="F14" t="s">
        <v>1195</v>
      </c>
    </row>
    <row r="15" spans="1:6">
      <c r="A15" t="s">
        <v>566</v>
      </c>
      <c r="B15" t="s">
        <v>570</v>
      </c>
      <c r="C15" t="s">
        <v>571</v>
      </c>
      <c r="D15" t="s">
        <v>547</v>
      </c>
      <c r="E15" t="s">
        <v>703</v>
      </c>
      <c r="F15" t="s">
        <v>1196</v>
      </c>
    </row>
    <row r="16" spans="1:6">
      <c r="A16" t="s">
        <v>566</v>
      </c>
      <c r="B16" t="s">
        <v>572</v>
      </c>
      <c r="C16" t="s">
        <v>573</v>
      </c>
      <c r="D16" t="s">
        <v>547</v>
      </c>
      <c r="E16" t="s">
        <v>705</v>
      </c>
      <c r="F16" t="s">
        <v>1197</v>
      </c>
    </row>
    <row r="17" spans="1:6">
      <c r="A17" t="s">
        <v>566</v>
      </c>
      <c r="B17" t="s">
        <v>574</v>
      </c>
      <c r="C17" t="s">
        <v>575</v>
      </c>
      <c r="D17" t="s">
        <v>547</v>
      </c>
      <c r="E17" t="s">
        <v>707</v>
      </c>
      <c r="F17" t="s">
        <v>1198</v>
      </c>
    </row>
    <row r="18" spans="1:6">
      <c r="A18" t="s">
        <v>566</v>
      </c>
      <c r="B18" t="s">
        <v>576</v>
      </c>
      <c r="C18" t="s">
        <v>577</v>
      </c>
      <c r="D18" t="s">
        <v>547</v>
      </c>
      <c r="E18" t="s">
        <v>709</v>
      </c>
      <c r="F18" t="s">
        <v>1199</v>
      </c>
    </row>
    <row r="19" spans="1:6">
      <c r="A19" t="s">
        <v>566</v>
      </c>
      <c r="B19" t="s">
        <v>578</v>
      </c>
      <c r="C19" t="s">
        <v>579</v>
      </c>
      <c r="D19" t="s">
        <v>547</v>
      </c>
      <c r="E19" t="s">
        <v>711</v>
      </c>
      <c r="F19" t="s">
        <v>1200</v>
      </c>
    </row>
    <row r="20" spans="1:6">
      <c r="A20" t="s">
        <v>566</v>
      </c>
      <c r="B20" t="s">
        <v>580</v>
      </c>
      <c r="C20" t="s">
        <v>581</v>
      </c>
      <c r="D20" t="s">
        <v>547</v>
      </c>
      <c r="E20" t="s">
        <v>713</v>
      </c>
      <c r="F20" t="s">
        <v>1201</v>
      </c>
    </row>
    <row r="21" spans="1:6">
      <c r="A21" t="s">
        <v>566</v>
      </c>
      <c r="B21" t="s">
        <v>582</v>
      </c>
      <c r="C21" t="s">
        <v>583</v>
      </c>
      <c r="D21" t="s">
        <v>547</v>
      </c>
      <c r="E21" t="s">
        <v>715</v>
      </c>
      <c r="F21" t="s">
        <v>1202</v>
      </c>
    </row>
    <row r="22" spans="1:6">
      <c r="A22" t="s">
        <v>566</v>
      </c>
      <c r="B22" t="s">
        <v>584</v>
      </c>
      <c r="C22" t="s">
        <v>585</v>
      </c>
      <c r="D22" t="s">
        <v>547</v>
      </c>
      <c r="E22" t="s">
        <v>732</v>
      </c>
      <c r="F22" t="s">
        <v>1203</v>
      </c>
    </row>
    <row r="23" spans="1:6">
      <c r="A23" t="s">
        <v>566</v>
      </c>
      <c r="B23" t="s">
        <v>586</v>
      </c>
      <c r="C23" t="s">
        <v>587</v>
      </c>
      <c r="D23" t="s">
        <v>547</v>
      </c>
      <c r="E23" t="s">
        <v>734</v>
      </c>
      <c r="F23" t="s">
        <v>1204</v>
      </c>
    </row>
    <row r="24" spans="1:6">
      <c r="A24" t="s">
        <v>566</v>
      </c>
      <c r="B24" t="s">
        <v>588</v>
      </c>
      <c r="C24" t="s">
        <v>589</v>
      </c>
      <c r="D24" t="s">
        <v>547</v>
      </c>
      <c r="E24" t="s">
        <v>742</v>
      </c>
      <c r="F24" t="s">
        <v>1205</v>
      </c>
    </row>
    <row r="25" spans="1:6">
      <c r="A25" t="s">
        <v>566</v>
      </c>
      <c r="B25" t="s">
        <v>590</v>
      </c>
      <c r="C25" t="s">
        <v>591</v>
      </c>
      <c r="D25" t="s">
        <v>547</v>
      </c>
      <c r="E25" t="s">
        <v>768</v>
      </c>
      <c r="F25" t="s">
        <v>1206</v>
      </c>
    </row>
    <row r="26" spans="1:6">
      <c r="A26" t="s">
        <v>592</v>
      </c>
      <c r="B26" t="s">
        <v>592</v>
      </c>
      <c r="C26" t="s">
        <v>593</v>
      </c>
      <c r="D26" t="s">
        <v>544</v>
      </c>
      <c r="E26" t="s">
        <v>792</v>
      </c>
      <c r="F26" t="s">
        <v>1207</v>
      </c>
    </row>
    <row r="27" spans="1:6">
      <c r="A27" t="s">
        <v>592</v>
      </c>
      <c r="B27" t="s">
        <v>594</v>
      </c>
      <c r="C27" t="s">
        <v>595</v>
      </c>
      <c r="D27" t="s">
        <v>547</v>
      </c>
      <c r="E27" t="s">
        <v>816</v>
      </c>
      <c r="F27" t="s">
        <v>1208</v>
      </c>
    </row>
    <row r="28" spans="1:6">
      <c r="A28" t="s">
        <v>592</v>
      </c>
      <c r="B28" t="s">
        <v>596</v>
      </c>
      <c r="C28" t="s">
        <v>597</v>
      </c>
      <c r="D28" t="s">
        <v>598</v>
      </c>
      <c r="E28" t="s">
        <v>836</v>
      </c>
      <c r="F28" t="s">
        <v>1209</v>
      </c>
    </row>
    <row r="29" spans="1:6">
      <c r="A29" t="s">
        <v>592</v>
      </c>
      <c r="B29" t="s">
        <v>599</v>
      </c>
      <c r="C29" t="s">
        <v>600</v>
      </c>
      <c r="D29" t="s">
        <v>598</v>
      </c>
      <c r="E29" t="s">
        <v>866</v>
      </c>
      <c r="F29" t="s">
        <v>1210</v>
      </c>
    </row>
    <row r="30" spans="1:6">
      <c r="A30" t="s">
        <v>592</v>
      </c>
      <c r="B30" t="s">
        <v>601</v>
      </c>
      <c r="C30" t="s">
        <v>602</v>
      </c>
      <c r="D30" t="s">
        <v>598</v>
      </c>
      <c r="E30" t="s">
        <v>874</v>
      </c>
      <c r="F30" t="s">
        <v>1211</v>
      </c>
    </row>
    <row r="31" spans="1:6">
      <c r="A31" t="s">
        <v>592</v>
      </c>
      <c r="B31" t="s">
        <v>603</v>
      </c>
      <c r="C31" t="s">
        <v>604</v>
      </c>
      <c r="D31" t="s">
        <v>547</v>
      </c>
      <c r="E31" t="s">
        <v>906</v>
      </c>
      <c r="F31" t="s">
        <v>1212</v>
      </c>
    </row>
    <row r="32" spans="1:6">
      <c r="A32" t="s">
        <v>592</v>
      </c>
      <c r="B32" t="s">
        <v>605</v>
      </c>
      <c r="C32" t="s">
        <v>606</v>
      </c>
      <c r="D32" t="s">
        <v>547</v>
      </c>
      <c r="E32" t="s">
        <v>926</v>
      </c>
      <c r="F32" t="s">
        <v>1213</v>
      </c>
    </row>
    <row r="33" spans="1:6">
      <c r="A33" t="s">
        <v>592</v>
      </c>
      <c r="B33" t="s">
        <v>607</v>
      </c>
      <c r="C33" t="s">
        <v>608</v>
      </c>
      <c r="D33" t="s">
        <v>609</v>
      </c>
      <c r="E33" t="s">
        <v>937</v>
      </c>
      <c r="F33" t="s">
        <v>1214</v>
      </c>
    </row>
    <row r="34" spans="1:6">
      <c r="A34" t="s">
        <v>592</v>
      </c>
      <c r="B34" t="s">
        <v>610</v>
      </c>
      <c r="C34" t="s">
        <v>611</v>
      </c>
      <c r="D34" t="s">
        <v>547</v>
      </c>
      <c r="E34" t="s">
        <v>959</v>
      </c>
      <c r="F34" t="s">
        <v>1215</v>
      </c>
    </row>
    <row r="35" spans="1:6">
      <c r="A35" t="s">
        <v>592</v>
      </c>
      <c r="B35" t="s">
        <v>612</v>
      </c>
      <c r="C35" t="s">
        <v>613</v>
      </c>
      <c r="D35" t="s">
        <v>547</v>
      </c>
      <c r="E35" t="s">
        <v>971</v>
      </c>
      <c r="F35" t="s">
        <v>1216</v>
      </c>
    </row>
    <row r="36" spans="1:6">
      <c r="A36" t="s">
        <v>614</v>
      </c>
      <c r="B36" t="s">
        <v>616</v>
      </c>
      <c r="C36" t="s">
        <v>617</v>
      </c>
      <c r="D36" t="s">
        <v>547</v>
      </c>
      <c r="E36" t="s">
        <v>999</v>
      </c>
      <c r="F36" t="s">
        <v>1217</v>
      </c>
    </row>
    <row r="37" spans="1:6">
      <c r="A37" t="s">
        <v>614</v>
      </c>
      <c r="B37" t="s">
        <v>618</v>
      </c>
      <c r="C37" t="s">
        <v>619</v>
      </c>
      <c r="D37" t="s">
        <v>547</v>
      </c>
      <c r="E37" t="s">
        <v>1011</v>
      </c>
      <c r="F37" t="s">
        <v>1218</v>
      </c>
    </row>
    <row r="38" spans="1:6">
      <c r="A38" t="s">
        <v>614</v>
      </c>
      <c r="B38" t="s">
        <v>620</v>
      </c>
      <c r="C38" t="s">
        <v>621</v>
      </c>
      <c r="D38" t="s">
        <v>547</v>
      </c>
      <c r="E38" t="s">
        <v>1013</v>
      </c>
      <c r="F38" t="s">
        <v>1219</v>
      </c>
    </row>
    <row r="39" spans="1:6">
      <c r="A39" t="s">
        <v>614</v>
      </c>
      <c r="B39" t="s">
        <v>622</v>
      </c>
      <c r="C39" t="s">
        <v>623</v>
      </c>
      <c r="D39" t="s">
        <v>547</v>
      </c>
      <c r="E39" t="s">
        <v>1029</v>
      </c>
      <c r="F39" t="s">
        <v>1220</v>
      </c>
    </row>
    <row r="40" spans="1:6">
      <c r="A40" t="s">
        <v>614</v>
      </c>
      <c r="B40" t="s">
        <v>614</v>
      </c>
      <c r="C40" t="s">
        <v>615</v>
      </c>
      <c r="D40" t="s">
        <v>544</v>
      </c>
      <c r="E40" t="s">
        <v>1063</v>
      </c>
      <c r="F40" t="s">
        <v>1221</v>
      </c>
    </row>
    <row r="41" spans="1:6">
      <c r="A41" t="s">
        <v>614</v>
      </c>
      <c r="B41" t="s">
        <v>624</v>
      </c>
      <c r="C41" t="s">
        <v>625</v>
      </c>
      <c r="D41" t="s">
        <v>547</v>
      </c>
      <c r="E41" t="s">
        <v>1093</v>
      </c>
      <c r="F41" t="s">
        <v>1222</v>
      </c>
    </row>
    <row r="42" spans="1:6">
      <c r="A42" t="s">
        <v>614</v>
      </c>
      <c r="B42" t="s">
        <v>626</v>
      </c>
      <c r="C42" t="s">
        <v>627</v>
      </c>
      <c r="D42" t="s">
        <v>547</v>
      </c>
      <c r="E42" t="s">
        <v>1115</v>
      </c>
      <c r="F42" t="s">
        <v>1223</v>
      </c>
    </row>
    <row r="43" spans="1:6">
      <c r="A43" t="s">
        <v>614</v>
      </c>
      <c r="B43" t="s">
        <v>628</v>
      </c>
      <c r="C43" t="s">
        <v>629</v>
      </c>
      <c r="D43" t="s">
        <v>547</v>
      </c>
      <c r="E43" t="s">
        <v>1138</v>
      </c>
      <c r="F43" t="s">
        <v>1224</v>
      </c>
    </row>
    <row r="44" spans="1:6">
      <c r="A44" t="s">
        <v>614</v>
      </c>
      <c r="B44" t="s">
        <v>630</v>
      </c>
      <c r="C44" t="s">
        <v>631</v>
      </c>
      <c r="D44" t="s">
        <v>547</v>
      </c>
      <c r="E44" t="s">
        <v>1158</v>
      </c>
      <c r="F44" t="s">
        <v>1225</v>
      </c>
    </row>
    <row r="45" spans="1:6">
      <c r="A45" t="s">
        <v>614</v>
      </c>
      <c r="B45" t="s">
        <v>632</v>
      </c>
      <c r="C45" t="s">
        <v>633</v>
      </c>
      <c r="D45" t="s">
        <v>547</v>
      </c>
    </row>
    <row r="46" spans="1:6">
      <c r="A46" t="s">
        <v>614</v>
      </c>
      <c r="B46" t="s">
        <v>634</v>
      </c>
      <c r="C46" t="s">
        <v>635</v>
      </c>
      <c r="D46" t="s">
        <v>547</v>
      </c>
    </row>
    <row r="47" spans="1:6">
      <c r="A47" t="s">
        <v>614</v>
      </c>
      <c r="B47" t="s">
        <v>636</v>
      </c>
      <c r="C47" t="s">
        <v>637</v>
      </c>
      <c r="D47" t="s">
        <v>547</v>
      </c>
    </row>
    <row r="48" spans="1:6">
      <c r="A48" t="s">
        <v>638</v>
      </c>
      <c r="B48" t="s">
        <v>640</v>
      </c>
      <c r="C48" t="s">
        <v>641</v>
      </c>
      <c r="D48" t="s">
        <v>547</v>
      </c>
    </row>
    <row r="49" spans="1:4">
      <c r="A49" t="s">
        <v>638</v>
      </c>
      <c r="B49" t="s">
        <v>642</v>
      </c>
      <c r="C49" t="s">
        <v>643</v>
      </c>
      <c r="D49" t="s">
        <v>547</v>
      </c>
    </row>
    <row r="50" spans="1:4">
      <c r="A50" t="s">
        <v>638</v>
      </c>
      <c r="B50" t="s">
        <v>644</v>
      </c>
      <c r="C50" t="s">
        <v>645</v>
      </c>
      <c r="D50" t="s">
        <v>547</v>
      </c>
    </row>
    <row r="51" spans="1:4">
      <c r="A51" t="s">
        <v>638</v>
      </c>
      <c r="B51" t="s">
        <v>638</v>
      </c>
      <c r="C51" t="s">
        <v>639</v>
      </c>
      <c r="D51" t="s">
        <v>544</v>
      </c>
    </row>
    <row r="52" spans="1:4">
      <c r="A52" t="s">
        <v>638</v>
      </c>
      <c r="B52" t="s">
        <v>646</v>
      </c>
      <c r="C52" t="s">
        <v>647</v>
      </c>
      <c r="D52" t="s">
        <v>547</v>
      </c>
    </row>
    <row r="53" spans="1:4">
      <c r="A53" t="s">
        <v>638</v>
      </c>
      <c r="B53" t="s">
        <v>648</v>
      </c>
      <c r="C53" t="s">
        <v>649</v>
      </c>
      <c r="D53" t="s">
        <v>547</v>
      </c>
    </row>
    <row r="54" spans="1:4">
      <c r="A54" t="s">
        <v>638</v>
      </c>
      <c r="B54" t="s">
        <v>650</v>
      </c>
      <c r="C54" t="s">
        <v>651</v>
      </c>
      <c r="D54" t="s">
        <v>547</v>
      </c>
    </row>
    <row r="55" spans="1:4">
      <c r="A55" t="s">
        <v>638</v>
      </c>
      <c r="B55" t="s">
        <v>652</v>
      </c>
      <c r="C55" t="s">
        <v>653</v>
      </c>
      <c r="D55" t="s">
        <v>547</v>
      </c>
    </row>
    <row r="56" spans="1:4">
      <c r="A56" t="s">
        <v>638</v>
      </c>
      <c r="B56" t="s">
        <v>654</v>
      </c>
      <c r="C56" t="s">
        <v>655</v>
      </c>
      <c r="D56" t="s">
        <v>547</v>
      </c>
    </row>
    <row r="57" spans="1:4">
      <c r="A57" t="s">
        <v>638</v>
      </c>
      <c r="B57" t="s">
        <v>656</v>
      </c>
      <c r="C57" t="s">
        <v>657</v>
      </c>
      <c r="D57" t="s">
        <v>547</v>
      </c>
    </row>
    <row r="58" spans="1:4">
      <c r="A58" t="s">
        <v>638</v>
      </c>
      <c r="B58" t="s">
        <v>658</v>
      </c>
      <c r="C58" t="s">
        <v>659</v>
      </c>
      <c r="D58" t="s">
        <v>547</v>
      </c>
    </row>
    <row r="59" spans="1:4">
      <c r="A59" t="s">
        <v>638</v>
      </c>
      <c r="B59" t="s">
        <v>660</v>
      </c>
      <c r="C59" t="s">
        <v>661</v>
      </c>
      <c r="D59" t="s">
        <v>547</v>
      </c>
    </row>
    <row r="60" spans="1:4">
      <c r="A60" t="s">
        <v>638</v>
      </c>
      <c r="B60" t="s">
        <v>662</v>
      </c>
      <c r="C60" t="s">
        <v>663</v>
      </c>
      <c r="D60" t="s">
        <v>547</v>
      </c>
    </row>
    <row r="61" spans="1:4">
      <c r="A61" t="s">
        <v>638</v>
      </c>
      <c r="B61" t="s">
        <v>664</v>
      </c>
      <c r="C61" t="s">
        <v>665</v>
      </c>
      <c r="D61" t="s">
        <v>547</v>
      </c>
    </row>
    <row r="62" spans="1:4">
      <c r="A62" t="s">
        <v>666</v>
      </c>
      <c r="B62" t="s">
        <v>666</v>
      </c>
      <c r="C62" t="s">
        <v>667</v>
      </c>
      <c r="D62" t="s">
        <v>544</v>
      </c>
    </row>
    <row r="63" spans="1:4">
      <c r="A63" t="s">
        <v>666</v>
      </c>
      <c r="B63" t="s">
        <v>668</v>
      </c>
      <c r="C63" t="s">
        <v>669</v>
      </c>
      <c r="D63" t="s">
        <v>598</v>
      </c>
    </row>
    <row r="64" spans="1:4">
      <c r="A64" t="s">
        <v>666</v>
      </c>
      <c r="B64" t="s">
        <v>670</v>
      </c>
      <c r="C64" t="s">
        <v>671</v>
      </c>
      <c r="D64" t="s">
        <v>547</v>
      </c>
    </row>
    <row r="65" spans="1:4">
      <c r="A65" t="s">
        <v>666</v>
      </c>
      <c r="B65" t="s">
        <v>672</v>
      </c>
      <c r="C65" t="s">
        <v>673</v>
      </c>
      <c r="D65" t="s">
        <v>547</v>
      </c>
    </row>
    <row r="66" spans="1:4">
      <c r="A66" t="s">
        <v>666</v>
      </c>
      <c r="B66" t="s">
        <v>674</v>
      </c>
      <c r="C66" t="s">
        <v>675</v>
      </c>
      <c r="D66" t="s">
        <v>547</v>
      </c>
    </row>
    <row r="67" spans="1:4">
      <c r="A67" t="s">
        <v>666</v>
      </c>
      <c r="B67" t="s">
        <v>676</v>
      </c>
      <c r="C67" t="s">
        <v>677</v>
      </c>
      <c r="D67" t="s">
        <v>547</v>
      </c>
    </row>
    <row r="68" spans="1:4">
      <c r="A68" t="s">
        <v>666</v>
      </c>
      <c r="B68" t="s">
        <v>678</v>
      </c>
      <c r="C68" t="s">
        <v>679</v>
      </c>
      <c r="D68" t="s">
        <v>609</v>
      </c>
    </row>
    <row r="69" spans="1:4">
      <c r="A69" t="s">
        <v>666</v>
      </c>
      <c r="B69" t="s">
        <v>680</v>
      </c>
      <c r="C69" t="s">
        <v>681</v>
      </c>
      <c r="D69" t="s">
        <v>547</v>
      </c>
    </row>
    <row r="70" spans="1:4">
      <c r="A70" t="s">
        <v>666</v>
      </c>
      <c r="B70" t="s">
        <v>682</v>
      </c>
      <c r="C70" t="s">
        <v>683</v>
      </c>
      <c r="D70" t="s">
        <v>547</v>
      </c>
    </row>
    <row r="71" spans="1:4">
      <c r="A71" t="s">
        <v>666</v>
      </c>
      <c r="B71" t="s">
        <v>684</v>
      </c>
      <c r="C71" t="s">
        <v>685</v>
      </c>
      <c r="D71" t="s">
        <v>547</v>
      </c>
    </row>
    <row r="72" spans="1:4">
      <c r="A72" t="s">
        <v>666</v>
      </c>
      <c r="B72" t="s">
        <v>686</v>
      </c>
      <c r="C72" t="s">
        <v>687</v>
      </c>
      <c r="D72" t="s">
        <v>547</v>
      </c>
    </row>
    <row r="73" spans="1:4">
      <c r="A73" t="s">
        <v>688</v>
      </c>
      <c r="B73" t="s">
        <v>688</v>
      </c>
      <c r="C73" t="s">
        <v>689</v>
      </c>
      <c r="D73" t="s">
        <v>690</v>
      </c>
    </row>
    <row r="74" spans="1:4">
      <c r="A74" t="s">
        <v>691</v>
      </c>
      <c r="B74" t="s">
        <v>691</v>
      </c>
      <c r="C74" t="s">
        <v>692</v>
      </c>
      <c r="D74" t="s">
        <v>690</v>
      </c>
    </row>
    <row r="75" spans="1:4">
      <c r="A75" t="s">
        <v>693</v>
      </c>
      <c r="B75" t="s">
        <v>693</v>
      </c>
      <c r="C75" t="s">
        <v>694</v>
      </c>
      <c r="D75" t="s">
        <v>690</v>
      </c>
    </row>
    <row r="76" spans="1:4">
      <c r="A76" t="s">
        <v>695</v>
      </c>
      <c r="B76" t="s">
        <v>695</v>
      </c>
      <c r="C76" t="s">
        <v>696</v>
      </c>
      <c r="D76" t="s">
        <v>690</v>
      </c>
    </row>
    <row r="77" spans="1:4">
      <c r="A77" t="s">
        <v>697</v>
      </c>
      <c r="B77" t="s">
        <v>697</v>
      </c>
      <c r="C77" t="s">
        <v>698</v>
      </c>
      <c r="D77" t="s">
        <v>690</v>
      </c>
    </row>
    <row r="78" spans="1:4">
      <c r="A78" t="s">
        <v>699</v>
      </c>
      <c r="B78" t="s">
        <v>699</v>
      </c>
      <c r="C78" t="s">
        <v>700</v>
      </c>
      <c r="D78" t="s">
        <v>690</v>
      </c>
    </row>
    <row r="79" spans="1:4">
      <c r="A79" t="s">
        <v>701</v>
      </c>
      <c r="B79" t="s">
        <v>701</v>
      </c>
      <c r="C79" t="s">
        <v>702</v>
      </c>
      <c r="D79" t="s">
        <v>690</v>
      </c>
    </row>
    <row r="80" spans="1:4">
      <c r="A80" t="s">
        <v>703</v>
      </c>
      <c r="B80" t="s">
        <v>703</v>
      </c>
      <c r="C80" t="s">
        <v>704</v>
      </c>
      <c r="D80" t="s">
        <v>690</v>
      </c>
    </row>
    <row r="81" spans="1:4">
      <c r="A81" t="s">
        <v>705</v>
      </c>
      <c r="B81" t="s">
        <v>705</v>
      </c>
      <c r="C81" t="s">
        <v>706</v>
      </c>
      <c r="D81" t="s">
        <v>690</v>
      </c>
    </row>
    <row r="82" spans="1:4">
      <c r="A82" t="s">
        <v>707</v>
      </c>
      <c r="B82" t="s">
        <v>707</v>
      </c>
      <c r="C82" t="s">
        <v>708</v>
      </c>
      <c r="D82" t="s">
        <v>690</v>
      </c>
    </row>
    <row r="83" spans="1:4">
      <c r="A83" t="s">
        <v>709</v>
      </c>
      <c r="B83" t="s">
        <v>709</v>
      </c>
      <c r="C83" t="s">
        <v>710</v>
      </c>
      <c r="D83" t="s">
        <v>690</v>
      </c>
    </row>
    <row r="84" spans="1:4">
      <c r="A84" t="s">
        <v>711</v>
      </c>
      <c r="B84" t="s">
        <v>711</v>
      </c>
      <c r="C84" t="s">
        <v>712</v>
      </c>
      <c r="D84" t="s">
        <v>690</v>
      </c>
    </row>
    <row r="85" spans="1:4">
      <c r="A85" t="s">
        <v>713</v>
      </c>
      <c r="B85" t="s">
        <v>713</v>
      </c>
      <c r="C85" t="s">
        <v>714</v>
      </c>
      <c r="D85" t="s">
        <v>690</v>
      </c>
    </row>
    <row r="86" spans="1:4">
      <c r="A86" t="s">
        <v>715</v>
      </c>
      <c r="B86" t="s">
        <v>715</v>
      </c>
      <c r="C86" t="s">
        <v>716</v>
      </c>
      <c r="D86" t="s">
        <v>690</v>
      </c>
    </row>
    <row r="87" spans="1:4">
      <c r="A87" t="s">
        <v>715</v>
      </c>
      <c r="B87" t="s">
        <v>717</v>
      </c>
      <c r="C87" t="s">
        <v>718</v>
      </c>
      <c r="D87" t="s">
        <v>719</v>
      </c>
    </row>
    <row r="88" spans="1:4">
      <c r="A88" t="s">
        <v>715</v>
      </c>
      <c r="B88" t="s">
        <v>720</v>
      </c>
      <c r="C88" t="s">
        <v>721</v>
      </c>
      <c r="D88" t="s">
        <v>719</v>
      </c>
    </row>
    <row r="89" spans="1:4">
      <c r="A89" t="s">
        <v>715</v>
      </c>
      <c r="B89" t="s">
        <v>722</v>
      </c>
      <c r="C89" t="s">
        <v>723</v>
      </c>
      <c r="D89" t="s">
        <v>719</v>
      </c>
    </row>
    <row r="90" spans="1:4">
      <c r="A90" t="s">
        <v>715</v>
      </c>
      <c r="B90" t="s">
        <v>724</v>
      </c>
      <c r="C90" t="s">
        <v>725</v>
      </c>
      <c r="D90" t="s">
        <v>719</v>
      </c>
    </row>
    <row r="91" spans="1:4">
      <c r="A91" t="s">
        <v>715</v>
      </c>
      <c r="B91" t="s">
        <v>726</v>
      </c>
      <c r="C91" t="s">
        <v>727</v>
      </c>
      <c r="D91" t="s">
        <v>719</v>
      </c>
    </row>
    <row r="92" spans="1:4">
      <c r="A92" t="s">
        <v>715</v>
      </c>
      <c r="B92" t="s">
        <v>728</v>
      </c>
      <c r="C92" t="s">
        <v>729</v>
      </c>
      <c r="D92" t="s">
        <v>719</v>
      </c>
    </row>
    <row r="93" spans="1:4">
      <c r="A93" t="s">
        <v>715</v>
      </c>
      <c r="B93" t="s">
        <v>730</v>
      </c>
      <c r="C93" t="s">
        <v>731</v>
      </c>
      <c r="D93" t="s">
        <v>719</v>
      </c>
    </row>
    <row r="94" spans="1:4">
      <c r="A94" t="s">
        <v>732</v>
      </c>
      <c r="B94" t="s">
        <v>732</v>
      </c>
      <c r="C94" t="s">
        <v>733</v>
      </c>
      <c r="D94" t="s">
        <v>690</v>
      </c>
    </row>
    <row r="95" spans="1:4">
      <c r="A95" t="s">
        <v>734</v>
      </c>
      <c r="B95" t="s">
        <v>736</v>
      </c>
      <c r="C95" t="s">
        <v>737</v>
      </c>
      <c r="D95" t="s">
        <v>598</v>
      </c>
    </row>
    <row r="96" spans="1:4">
      <c r="A96" t="s">
        <v>734</v>
      </c>
      <c r="B96" t="s">
        <v>734</v>
      </c>
      <c r="C96" t="s">
        <v>735</v>
      </c>
      <c r="D96" t="s">
        <v>544</v>
      </c>
    </row>
    <row r="97" spans="1:4">
      <c r="A97" t="s">
        <v>734</v>
      </c>
      <c r="B97" t="s">
        <v>738</v>
      </c>
      <c r="C97" t="s">
        <v>739</v>
      </c>
      <c r="D97" t="s">
        <v>609</v>
      </c>
    </row>
    <row r="98" spans="1:4">
      <c r="A98" t="s">
        <v>734</v>
      </c>
      <c r="B98" t="s">
        <v>740</v>
      </c>
      <c r="C98" t="s">
        <v>741</v>
      </c>
      <c r="D98" t="s">
        <v>609</v>
      </c>
    </row>
    <row r="99" spans="1:4">
      <c r="A99" t="s">
        <v>742</v>
      </c>
      <c r="B99" t="s">
        <v>744</v>
      </c>
      <c r="C99" t="s">
        <v>745</v>
      </c>
      <c r="D99" t="s">
        <v>547</v>
      </c>
    </row>
    <row r="100" spans="1:4">
      <c r="A100" t="s">
        <v>742</v>
      </c>
      <c r="B100" t="s">
        <v>746</v>
      </c>
      <c r="C100" t="s">
        <v>747</v>
      </c>
      <c r="D100" t="s">
        <v>547</v>
      </c>
    </row>
    <row r="101" spans="1:4">
      <c r="A101" t="s">
        <v>742</v>
      </c>
      <c r="B101" t="s">
        <v>748</v>
      </c>
      <c r="C101" t="s">
        <v>749</v>
      </c>
      <c r="D101" t="s">
        <v>547</v>
      </c>
    </row>
    <row r="102" spans="1:4">
      <c r="A102" t="s">
        <v>742</v>
      </c>
      <c r="B102" t="s">
        <v>750</v>
      </c>
      <c r="C102" t="s">
        <v>751</v>
      </c>
      <c r="D102" t="s">
        <v>547</v>
      </c>
    </row>
    <row r="103" spans="1:4">
      <c r="A103" t="s">
        <v>742</v>
      </c>
      <c r="B103" t="s">
        <v>742</v>
      </c>
      <c r="C103" t="s">
        <v>743</v>
      </c>
      <c r="D103" t="s">
        <v>544</v>
      </c>
    </row>
    <row r="104" spans="1:4">
      <c r="A104" t="s">
        <v>742</v>
      </c>
      <c r="B104" t="s">
        <v>752</v>
      </c>
      <c r="C104" t="s">
        <v>753</v>
      </c>
      <c r="D104" t="s">
        <v>547</v>
      </c>
    </row>
    <row r="105" spans="1:4">
      <c r="A105" t="s">
        <v>742</v>
      </c>
      <c r="B105" t="s">
        <v>754</v>
      </c>
      <c r="C105" t="s">
        <v>755</v>
      </c>
      <c r="D105" t="s">
        <v>547</v>
      </c>
    </row>
    <row r="106" spans="1:4">
      <c r="A106" t="s">
        <v>742</v>
      </c>
      <c r="B106" t="s">
        <v>756</v>
      </c>
      <c r="C106" t="s">
        <v>757</v>
      </c>
      <c r="D106" t="s">
        <v>547</v>
      </c>
    </row>
    <row r="107" spans="1:4">
      <c r="A107" t="s">
        <v>742</v>
      </c>
      <c r="B107" t="s">
        <v>758</v>
      </c>
      <c r="C107" t="s">
        <v>759</v>
      </c>
      <c r="D107" t="s">
        <v>547</v>
      </c>
    </row>
    <row r="108" spans="1:4">
      <c r="A108" t="s">
        <v>742</v>
      </c>
      <c r="B108" t="s">
        <v>760</v>
      </c>
      <c r="C108" t="s">
        <v>761</v>
      </c>
      <c r="D108" t="s">
        <v>547</v>
      </c>
    </row>
    <row r="109" spans="1:4">
      <c r="A109" t="s">
        <v>742</v>
      </c>
      <c r="B109" t="s">
        <v>762</v>
      </c>
      <c r="C109" t="s">
        <v>763</v>
      </c>
      <c r="D109" t="s">
        <v>547</v>
      </c>
    </row>
    <row r="110" spans="1:4">
      <c r="A110" t="s">
        <v>742</v>
      </c>
      <c r="B110" t="s">
        <v>764</v>
      </c>
      <c r="C110" t="s">
        <v>765</v>
      </c>
      <c r="D110" t="s">
        <v>547</v>
      </c>
    </row>
    <row r="111" spans="1:4">
      <c r="A111" t="s">
        <v>742</v>
      </c>
      <c r="B111" t="s">
        <v>766</v>
      </c>
      <c r="C111" t="s">
        <v>767</v>
      </c>
      <c r="D111" t="s">
        <v>547</v>
      </c>
    </row>
    <row r="112" spans="1:4">
      <c r="A112" t="s">
        <v>768</v>
      </c>
      <c r="B112" t="s">
        <v>770</v>
      </c>
      <c r="C112" t="s">
        <v>771</v>
      </c>
      <c r="D112" t="s">
        <v>547</v>
      </c>
    </row>
    <row r="113" spans="1:4">
      <c r="A113" t="s">
        <v>768</v>
      </c>
      <c r="B113" t="s">
        <v>772</v>
      </c>
      <c r="C113" t="s">
        <v>773</v>
      </c>
      <c r="D113" t="s">
        <v>547</v>
      </c>
    </row>
    <row r="114" spans="1:4">
      <c r="A114" t="s">
        <v>768</v>
      </c>
      <c r="B114" t="s">
        <v>774</v>
      </c>
      <c r="C114" t="s">
        <v>775</v>
      </c>
      <c r="D114" t="s">
        <v>547</v>
      </c>
    </row>
    <row r="115" spans="1:4">
      <c r="A115" t="s">
        <v>768</v>
      </c>
      <c r="B115" t="s">
        <v>776</v>
      </c>
      <c r="C115" t="s">
        <v>777</v>
      </c>
      <c r="D115" t="s">
        <v>598</v>
      </c>
    </row>
    <row r="116" spans="1:4">
      <c r="A116" t="s">
        <v>768</v>
      </c>
      <c r="B116" t="s">
        <v>778</v>
      </c>
      <c r="C116" t="s">
        <v>779</v>
      </c>
      <c r="D116" t="s">
        <v>547</v>
      </c>
    </row>
    <row r="117" spans="1:4">
      <c r="A117" t="s">
        <v>768</v>
      </c>
      <c r="B117" t="s">
        <v>768</v>
      </c>
      <c r="C117" t="s">
        <v>769</v>
      </c>
      <c r="D117" t="s">
        <v>544</v>
      </c>
    </row>
    <row r="118" spans="1:4">
      <c r="A118" t="s">
        <v>768</v>
      </c>
      <c r="B118" t="s">
        <v>780</v>
      </c>
      <c r="C118" t="s">
        <v>781</v>
      </c>
      <c r="D118" t="s">
        <v>547</v>
      </c>
    </row>
    <row r="119" spans="1:4">
      <c r="A119" t="s">
        <v>768</v>
      </c>
      <c r="B119" t="s">
        <v>782</v>
      </c>
      <c r="C119" t="s">
        <v>783</v>
      </c>
      <c r="D119" t="s">
        <v>547</v>
      </c>
    </row>
    <row r="120" spans="1:4">
      <c r="A120" t="s">
        <v>768</v>
      </c>
      <c r="B120" t="s">
        <v>784</v>
      </c>
      <c r="C120" t="s">
        <v>785</v>
      </c>
      <c r="D120" t="s">
        <v>547</v>
      </c>
    </row>
    <row r="121" spans="1:4">
      <c r="A121" t="s">
        <v>768</v>
      </c>
      <c r="B121" t="s">
        <v>786</v>
      </c>
      <c r="C121" t="s">
        <v>787</v>
      </c>
      <c r="D121" t="s">
        <v>547</v>
      </c>
    </row>
    <row r="122" spans="1:4">
      <c r="A122" t="s">
        <v>768</v>
      </c>
      <c r="B122" t="s">
        <v>788</v>
      </c>
      <c r="C122" t="s">
        <v>789</v>
      </c>
      <c r="D122" t="s">
        <v>547</v>
      </c>
    </row>
    <row r="123" spans="1:4">
      <c r="A123" t="s">
        <v>768</v>
      </c>
      <c r="B123" t="s">
        <v>790</v>
      </c>
      <c r="C123" t="s">
        <v>791</v>
      </c>
      <c r="D123" t="s">
        <v>547</v>
      </c>
    </row>
    <row r="124" spans="1:4">
      <c r="A124" t="s">
        <v>792</v>
      </c>
      <c r="B124" t="s">
        <v>794</v>
      </c>
      <c r="C124" t="s">
        <v>795</v>
      </c>
      <c r="D124" t="s">
        <v>547</v>
      </c>
    </row>
    <row r="125" spans="1:4">
      <c r="A125" t="s">
        <v>792</v>
      </c>
      <c r="B125" t="s">
        <v>796</v>
      </c>
      <c r="C125" t="s">
        <v>797</v>
      </c>
      <c r="D125" t="s">
        <v>547</v>
      </c>
    </row>
    <row r="126" spans="1:4">
      <c r="A126" t="s">
        <v>792</v>
      </c>
      <c r="B126" t="s">
        <v>798</v>
      </c>
      <c r="C126" t="s">
        <v>799</v>
      </c>
      <c r="D126" t="s">
        <v>547</v>
      </c>
    </row>
    <row r="127" spans="1:4">
      <c r="A127" t="s">
        <v>792</v>
      </c>
      <c r="B127" t="s">
        <v>800</v>
      </c>
      <c r="C127" t="s">
        <v>801</v>
      </c>
      <c r="D127" t="s">
        <v>547</v>
      </c>
    </row>
    <row r="128" spans="1:4">
      <c r="A128" t="s">
        <v>792</v>
      </c>
      <c r="B128" t="s">
        <v>802</v>
      </c>
      <c r="C128" t="s">
        <v>803</v>
      </c>
      <c r="D128" t="s">
        <v>598</v>
      </c>
    </row>
    <row r="129" spans="1:4">
      <c r="A129" t="s">
        <v>792</v>
      </c>
      <c r="B129" t="s">
        <v>804</v>
      </c>
      <c r="C129" t="s">
        <v>805</v>
      </c>
      <c r="D129" t="s">
        <v>547</v>
      </c>
    </row>
    <row r="130" spans="1:4">
      <c r="A130" t="s">
        <v>792</v>
      </c>
      <c r="B130" t="s">
        <v>792</v>
      </c>
      <c r="C130" t="s">
        <v>793</v>
      </c>
      <c r="D130" t="s">
        <v>544</v>
      </c>
    </row>
    <row r="131" spans="1:4">
      <c r="A131" t="s">
        <v>792</v>
      </c>
      <c r="B131" t="s">
        <v>806</v>
      </c>
      <c r="C131" t="s">
        <v>807</v>
      </c>
      <c r="D131" t="s">
        <v>547</v>
      </c>
    </row>
    <row r="132" spans="1:4">
      <c r="A132" t="s">
        <v>792</v>
      </c>
      <c r="B132" t="s">
        <v>808</v>
      </c>
      <c r="C132" t="s">
        <v>809</v>
      </c>
      <c r="D132" t="s">
        <v>547</v>
      </c>
    </row>
    <row r="133" spans="1:4">
      <c r="A133" t="s">
        <v>792</v>
      </c>
      <c r="B133" t="s">
        <v>810</v>
      </c>
      <c r="C133" t="s">
        <v>811</v>
      </c>
      <c r="D133" t="s">
        <v>609</v>
      </c>
    </row>
    <row r="134" spans="1:4">
      <c r="A134" t="s">
        <v>792</v>
      </c>
      <c r="B134" t="s">
        <v>812</v>
      </c>
      <c r="C134" t="s">
        <v>813</v>
      </c>
      <c r="D134" t="s">
        <v>547</v>
      </c>
    </row>
    <row r="135" spans="1:4">
      <c r="A135" t="s">
        <v>792</v>
      </c>
      <c r="B135" t="s">
        <v>814</v>
      </c>
      <c r="C135" t="s">
        <v>815</v>
      </c>
      <c r="D135" t="s">
        <v>547</v>
      </c>
    </row>
    <row r="136" spans="1:4">
      <c r="A136" t="s">
        <v>816</v>
      </c>
      <c r="B136" t="s">
        <v>818</v>
      </c>
      <c r="C136" t="s">
        <v>819</v>
      </c>
      <c r="D136" t="s">
        <v>547</v>
      </c>
    </row>
    <row r="137" spans="1:4">
      <c r="A137" t="s">
        <v>816</v>
      </c>
      <c r="B137" t="s">
        <v>820</v>
      </c>
      <c r="C137" t="s">
        <v>821</v>
      </c>
      <c r="D137" t="s">
        <v>547</v>
      </c>
    </row>
    <row r="138" spans="1:4">
      <c r="A138" t="s">
        <v>816</v>
      </c>
      <c r="B138" t="s">
        <v>822</v>
      </c>
      <c r="C138" t="s">
        <v>823</v>
      </c>
      <c r="D138" t="s">
        <v>598</v>
      </c>
    </row>
    <row r="139" spans="1:4">
      <c r="A139" t="s">
        <v>816</v>
      </c>
      <c r="B139" t="s">
        <v>824</v>
      </c>
      <c r="C139" t="s">
        <v>825</v>
      </c>
      <c r="D139" t="s">
        <v>598</v>
      </c>
    </row>
    <row r="140" spans="1:4">
      <c r="A140" t="s">
        <v>816</v>
      </c>
      <c r="B140" t="s">
        <v>816</v>
      </c>
      <c r="C140" t="s">
        <v>817</v>
      </c>
      <c r="D140" t="s">
        <v>544</v>
      </c>
    </row>
    <row r="141" spans="1:4">
      <c r="A141" t="s">
        <v>816</v>
      </c>
      <c r="B141" t="s">
        <v>826</v>
      </c>
      <c r="C141" t="s">
        <v>827</v>
      </c>
      <c r="D141" t="s">
        <v>547</v>
      </c>
    </row>
    <row r="142" spans="1:4">
      <c r="A142" t="s">
        <v>816</v>
      </c>
      <c r="B142" t="s">
        <v>828</v>
      </c>
      <c r="C142" t="s">
        <v>829</v>
      </c>
      <c r="D142" t="s">
        <v>547</v>
      </c>
    </row>
    <row r="143" spans="1:4">
      <c r="A143" t="s">
        <v>816</v>
      </c>
      <c r="B143" t="s">
        <v>830</v>
      </c>
      <c r="C143" t="s">
        <v>831</v>
      </c>
      <c r="D143" t="s">
        <v>547</v>
      </c>
    </row>
    <row r="144" spans="1:4">
      <c r="A144" t="s">
        <v>816</v>
      </c>
      <c r="B144" t="s">
        <v>832</v>
      </c>
      <c r="C144" t="s">
        <v>833</v>
      </c>
      <c r="D144" t="s">
        <v>547</v>
      </c>
    </row>
    <row r="145" spans="1:4">
      <c r="A145" t="s">
        <v>816</v>
      </c>
      <c r="B145" t="s">
        <v>834</v>
      </c>
      <c r="C145" t="s">
        <v>835</v>
      </c>
      <c r="D145" t="s">
        <v>547</v>
      </c>
    </row>
    <row r="146" spans="1:4">
      <c r="A146" t="s">
        <v>836</v>
      </c>
      <c r="B146" t="s">
        <v>838</v>
      </c>
      <c r="C146" t="s">
        <v>839</v>
      </c>
      <c r="D146" t="s">
        <v>547</v>
      </c>
    </row>
    <row r="147" spans="1:4">
      <c r="A147" t="s">
        <v>836</v>
      </c>
      <c r="B147" t="s">
        <v>840</v>
      </c>
      <c r="C147" t="s">
        <v>841</v>
      </c>
      <c r="D147" t="s">
        <v>547</v>
      </c>
    </row>
    <row r="148" spans="1:4">
      <c r="A148" t="s">
        <v>836</v>
      </c>
      <c r="B148" t="s">
        <v>842</v>
      </c>
      <c r="C148" t="s">
        <v>843</v>
      </c>
      <c r="D148" t="s">
        <v>547</v>
      </c>
    </row>
    <row r="149" spans="1:4">
      <c r="A149" t="s">
        <v>836</v>
      </c>
      <c r="B149" t="s">
        <v>844</v>
      </c>
      <c r="C149" t="s">
        <v>845</v>
      </c>
      <c r="D149" t="s">
        <v>547</v>
      </c>
    </row>
    <row r="150" spans="1:4">
      <c r="A150" t="s">
        <v>836</v>
      </c>
      <c r="B150" t="s">
        <v>846</v>
      </c>
      <c r="C150" t="s">
        <v>847</v>
      </c>
      <c r="D150" t="s">
        <v>547</v>
      </c>
    </row>
    <row r="151" spans="1:4">
      <c r="A151" t="s">
        <v>836</v>
      </c>
      <c r="B151" t="s">
        <v>848</v>
      </c>
      <c r="C151" t="s">
        <v>849</v>
      </c>
      <c r="D151" t="s">
        <v>547</v>
      </c>
    </row>
    <row r="152" spans="1:4">
      <c r="A152" t="s">
        <v>836</v>
      </c>
      <c r="B152" t="s">
        <v>836</v>
      </c>
      <c r="C152" t="s">
        <v>837</v>
      </c>
      <c r="D152" t="s">
        <v>544</v>
      </c>
    </row>
    <row r="153" spans="1:4">
      <c r="A153" t="s">
        <v>836</v>
      </c>
      <c r="B153" t="s">
        <v>850</v>
      </c>
      <c r="C153" t="s">
        <v>851</v>
      </c>
      <c r="D153" t="s">
        <v>547</v>
      </c>
    </row>
    <row r="154" spans="1:4">
      <c r="A154" t="s">
        <v>836</v>
      </c>
      <c r="B154" t="s">
        <v>852</v>
      </c>
      <c r="C154" t="s">
        <v>853</v>
      </c>
      <c r="D154" t="s">
        <v>547</v>
      </c>
    </row>
    <row r="155" spans="1:4">
      <c r="A155" t="s">
        <v>836</v>
      </c>
      <c r="B155" t="s">
        <v>854</v>
      </c>
      <c r="C155" t="s">
        <v>855</v>
      </c>
      <c r="D155" t="s">
        <v>547</v>
      </c>
    </row>
    <row r="156" spans="1:4">
      <c r="A156" t="s">
        <v>836</v>
      </c>
      <c r="B156" t="s">
        <v>856</v>
      </c>
      <c r="C156" t="s">
        <v>857</v>
      </c>
      <c r="D156" t="s">
        <v>547</v>
      </c>
    </row>
    <row r="157" spans="1:4">
      <c r="A157" t="s">
        <v>836</v>
      </c>
      <c r="B157" t="s">
        <v>858</v>
      </c>
      <c r="C157" t="s">
        <v>859</v>
      </c>
      <c r="D157" t="s">
        <v>547</v>
      </c>
    </row>
    <row r="158" spans="1:4">
      <c r="A158" t="s">
        <v>836</v>
      </c>
      <c r="B158" t="s">
        <v>860</v>
      </c>
      <c r="C158" t="s">
        <v>861</v>
      </c>
      <c r="D158" t="s">
        <v>547</v>
      </c>
    </row>
    <row r="159" spans="1:4">
      <c r="A159" t="s">
        <v>836</v>
      </c>
      <c r="B159" t="s">
        <v>862</v>
      </c>
      <c r="C159" t="s">
        <v>863</v>
      </c>
      <c r="D159" t="s">
        <v>547</v>
      </c>
    </row>
    <row r="160" spans="1:4">
      <c r="A160" t="s">
        <v>836</v>
      </c>
      <c r="B160" t="s">
        <v>864</v>
      </c>
      <c r="C160" t="s">
        <v>865</v>
      </c>
      <c r="D160" t="s">
        <v>547</v>
      </c>
    </row>
    <row r="161" spans="1:4">
      <c r="A161" t="s">
        <v>866</v>
      </c>
      <c r="B161" t="s">
        <v>868</v>
      </c>
      <c r="C161" t="s">
        <v>869</v>
      </c>
      <c r="D161" t="s">
        <v>598</v>
      </c>
    </row>
    <row r="162" spans="1:4">
      <c r="A162" t="s">
        <v>866</v>
      </c>
      <c r="B162" t="s">
        <v>866</v>
      </c>
      <c r="C162" t="s">
        <v>867</v>
      </c>
      <c r="D162" t="s">
        <v>544</v>
      </c>
    </row>
    <row r="163" spans="1:4">
      <c r="A163" t="s">
        <v>866</v>
      </c>
      <c r="B163" t="s">
        <v>870</v>
      </c>
      <c r="C163" t="s">
        <v>871</v>
      </c>
      <c r="D163" t="s">
        <v>609</v>
      </c>
    </row>
    <row r="164" spans="1:4">
      <c r="A164" t="s">
        <v>866</v>
      </c>
      <c r="B164" t="s">
        <v>872</v>
      </c>
      <c r="C164" t="s">
        <v>873</v>
      </c>
      <c r="D164" t="s">
        <v>609</v>
      </c>
    </row>
    <row r="165" spans="1:4">
      <c r="A165" t="s">
        <v>874</v>
      </c>
      <c r="B165" t="s">
        <v>876</v>
      </c>
      <c r="C165" t="s">
        <v>877</v>
      </c>
      <c r="D165" t="s">
        <v>547</v>
      </c>
    </row>
    <row r="166" spans="1:4">
      <c r="A166" t="s">
        <v>874</v>
      </c>
      <c r="B166" t="s">
        <v>878</v>
      </c>
      <c r="C166" t="s">
        <v>879</v>
      </c>
      <c r="D166" t="s">
        <v>547</v>
      </c>
    </row>
    <row r="167" spans="1:4">
      <c r="A167" t="s">
        <v>874</v>
      </c>
      <c r="B167" t="s">
        <v>880</v>
      </c>
      <c r="C167" t="s">
        <v>881</v>
      </c>
      <c r="D167" t="s">
        <v>547</v>
      </c>
    </row>
    <row r="168" spans="1:4">
      <c r="A168" t="s">
        <v>874</v>
      </c>
      <c r="B168" t="s">
        <v>882</v>
      </c>
      <c r="C168" t="s">
        <v>883</v>
      </c>
      <c r="D168" t="s">
        <v>547</v>
      </c>
    </row>
    <row r="169" spans="1:4">
      <c r="A169" t="s">
        <v>874</v>
      </c>
      <c r="B169" t="s">
        <v>884</v>
      </c>
      <c r="C169" t="s">
        <v>885</v>
      </c>
      <c r="D169" t="s">
        <v>547</v>
      </c>
    </row>
    <row r="170" spans="1:4">
      <c r="A170" t="s">
        <v>874</v>
      </c>
      <c r="B170" t="s">
        <v>886</v>
      </c>
      <c r="C170" t="s">
        <v>887</v>
      </c>
      <c r="D170" t="s">
        <v>547</v>
      </c>
    </row>
    <row r="171" spans="1:4">
      <c r="A171" t="s">
        <v>874</v>
      </c>
      <c r="B171" t="s">
        <v>888</v>
      </c>
      <c r="C171" t="s">
        <v>889</v>
      </c>
      <c r="D171" t="s">
        <v>547</v>
      </c>
    </row>
    <row r="172" spans="1:4">
      <c r="A172" t="s">
        <v>874</v>
      </c>
      <c r="B172" t="s">
        <v>874</v>
      </c>
      <c r="C172" t="s">
        <v>875</v>
      </c>
      <c r="D172" t="s">
        <v>544</v>
      </c>
    </row>
    <row r="173" spans="1:4">
      <c r="A173" t="s">
        <v>874</v>
      </c>
      <c r="B173" t="s">
        <v>890</v>
      </c>
      <c r="C173" t="s">
        <v>891</v>
      </c>
      <c r="D173" t="s">
        <v>547</v>
      </c>
    </row>
    <row r="174" spans="1:4">
      <c r="A174" t="s">
        <v>874</v>
      </c>
      <c r="B174" t="s">
        <v>892</v>
      </c>
      <c r="C174" t="s">
        <v>893</v>
      </c>
      <c r="D174" t="s">
        <v>547</v>
      </c>
    </row>
    <row r="175" spans="1:4">
      <c r="A175" t="s">
        <v>874</v>
      </c>
      <c r="B175" t="s">
        <v>894</v>
      </c>
      <c r="C175" t="s">
        <v>895</v>
      </c>
      <c r="D175" t="s">
        <v>547</v>
      </c>
    </row>
    <row r="176" spans="1:4">
      <c r="A176" t="s">
        <v>874</v>
      </c>
      <c r="B176" t="s">
        <v>896</v>
      </c>
      <c r="C176" t="s">
        <v>897</v>
      </c>
      <c r="D176" t="s">
        <v>547</v>
      </c>
    </row>
    <row r="177" spans="1:4">
      <c r="A177" t="s">
        <v>874</v>
      </c>
      <c r="B177" t="s">
        <v>898</v>
      </c>
      <c r="C177" t="s">
        <v>899</v>
      </c>
      <c r="D177" t="s">
        <v>547</v>
      </c>
    </row>
    <row r="178" spans="1:4">
      <c r="A178" t="s">
        <v>874</v>
      </c>
      <c r="B178" t="s">
        <v>900</v>
      </c>
      <c r="C178" t="s">
        <v>901</v>
      </c>
      <c r="D178" t="s">
        <v>547</v>
      </c>
    </row>
    <row r="179" spans="1:4">
      <c r="A179" t="s">
        <v>874</v>
      </c>
      <c r="B179" t="s">
        <v>902</v>
      </c>
      <c r="C179" t="s">
        <v>903</v>
      </c>
      <c r="D179" t="s">
        <v>547</v>
      </c>
    </row>
    <row r="180" spans="1:4">
      <c r="A180" t="s">
        <v>874</v>
      </c>
      <c r="B180" t="s">
        <v>904</v>
      </c>
      <c r="C180" t="s">
        <v>905</v>
      </c>
      <c r="D180" t="s">
        <v>547</v>
      </c>
    </row>
    <row r="181" spans="1:4">
      <c r="A181" t="s">
        <v>906</v>
      </c>
      <c r="B181" t="s">
        <v>908</v>
      </c>
      <c r="C181" t="s">
        <v>909</v>
      </c>
      <c r="D181" t="s">
        <v>547</v>
      </c>
    </row>
    <row r="182" spans="1:4">
      <c r="A182" t="s">
        <v>906</v>
      </c>
      <c r="B182" t="s">
        <v>910</v>
      </c>
      <c r="C182" t="s">
        <v>911</v>
      </c>
      <c r="D182" t="s">
        <v>547</v>
      </c>
    </row>
    <row r="183" spans="1:4">
      <c r="A183" t="s">
        <v>906</v>
      </c>
      <c r="B183" t="s">
        <v>906</v>
      </c>
      <c r="C183" t="s">
        <v>907</v>
      </c>
      <c r="D183" t="s">
        <v>544</v>
      </c>
    </row>
    <row r="184" spans="1:4">
      <c r="A184" t="s">
        <v>906</v>
      </c>
      <c r="B184" t="s">
        <v>912</v>
      </c>
      <c r="C184" t="s">
        <v>913</v>
      </c>
      <c r="D184" t="s">
        <v>547</v>
      </c>
    </row>
    <row r="185" spans="1:4">
      <c r="A185" t="s">
        <v>906</v>
      </c>
      <c r="B185" t="s">
        <v>914</v>
      </c>
      <c r="C185" t="s">
        <v>915</v>
      </c>
      <c r="D185" t="s">
        <v>547</v>
      </c>
    </row>
    <row r="186" spans="1:4">
      <c r="A186" t="s">
        <v>906</v>
      </c>
      <c r="B186" t="s">
        <v>916</v>
      </c>
      <c r="C186" t="s">
        <v>917</v>
      </c>
      <c r="D186" t="s">
        <v>547</v>
      </c>
    </row>
    <row r="187" spans="1:4">
      <c r="A187" t="s">
        <v>906</v>
      </c>
      <c r="B187" t="s">
        <v>918</v>
      </c>
      <c r="C187" t="s">
        <v>919</v>
      </c>
      <c r="D187" t="s">
        <v>547</v>
      </c>
    </row>
    <row r="188" spans="1:4">
      <c r="A188" t="s">
        <v>906</v>
      </c>
      <c r="B188" t="s">
        <v>920</v>
      </c>
      <c r="C188" t="s">
        <v>921</v>
      </c>
      <c r="D188" t="s">
        <v>547</v>
      </c>
    </row>
    <row r="189" spans="1:4">
      <c r="A189" t="s">
        <v>906</v>
      </c>
      <c r="B189" t="s">
        <v>922</v>
      </c>
      <c r="C189" t="s">
        <v>923</v>
      </c>
      <c r="D189" t="s">
        <v>547</v>
      </c>
    </row>
    <row r="190" spans="1:4">
      <c r="A190" t="s">
        <v>906</v>
      </c>
      <c r="B190" t="s">
        <v>924</v>
      </c>
      <c r="C190" t="s">
        <v>925</v>
      </c>
      <c r="D190" t="s">
        <v>547</v>
      </c>
    </row>
    <row r="191" spans="1:4">
      <c r="A191" t="s">
        <v>926</v>
      </c>
      <c r="B191" t="s">
        <v>928</v>
      </c>
      <c r="C191" t="s">
        <v>929</v>
      </c>
      <c r="D191" t="s">
        <v>598</v>
      </c>
    </row>
    <row r="192" spans="1:4">
      <c r="A192" t="s">
        <v>926</v>
      </c>
      <c r="B192" t="s">
        <v>930</v>
      </c>
      <c r="C192" t="s">
        <v>931</v>
      </c>
      <c r="D192" t="s">
        <v>547</v>
      </c>
    </row>
    <row r="193" spans="1:4">
      <c r="A193" t="s">
        <v>926</v>
      </c>
      <c r="B193" t="s">
        <v>926</v>
      </c>
      <c r="C193" t="s">
        <v>927</v>
      </c>
      <c r="D193" t="s">
        <v>544</v>
      </c>
    </row>
    <row r="194" spans="1:4">
      <c r="A194" t="s">
        <v>926</v>
      </c>
      <c r="B194" t="s">
        <v>932</v>
      </c>
      <c r="C194" t="s">
        <v>933</v>
      </c>
      <c r="D194" t="s">
        <v>547</v>
      </c>
    </row>
    <row r="195" spans="1:4">
      <c r="A195" t="s">
        <v>926</v>
      </c>
      <c r="B195" t="s">
        <v>676</v>
      </c>
      <c r="C195" t="s">
        <v>934</v>
      </c>
      <c r="D195" t="s">
        <v>547</v>
      </c>
    </row>
    <row r="196" spans="1:4">
      <c r="A196" t="s">
        <v>926</v>
      </c>
      <c r="B196" t="s">
        <v>935</v>
      </c>
      <c r="C196" t="s">
        <v>936</v>
      </c>
      <c r="D196" t="s">
        <v>609</v>
      </c>
    </row>
    <row r="197" spans="1:4">
      <c r="A197" t="s">
        <v>937</v>
      </c>
      <c r="B197" t="s">
        <v>939</v>
      </c>
      <c r="C197" t="s">
        <v>940</v>
      </c>
      <c r="D197" t="s">
        <v>547</v>
      </c>
    </row>
    <row r="198" spans="1:4">
      <c r="A198" t="s">
        <v>937</v>
      </c>
      <c r="B198" t="s">
        <v>941</v>
      </c>
      <c r="C198" t="s">
        <v>942</v>
      </c>
      <c r="D198" t="s">
        <v>547</v>
      </c>
    </row>
    <row r="199" spans="1:4">
      <c r="A199" t="s">
        <v>937</v>
      </c>
      <c r="B199" t="s">
        <v>943</v>
      </c>
      <c r="C199" t="s">
        <v>944</v>
      </c>
      <c r="D199" t="s">
        <v>547</v>
      </c>
    </row>
    <row r="200" spans="1:4">
      <c r="A200" t="s">
        <v>937</v>
      </c>
      <c r="B200" t="s">
        <v>945</v>
      </c>
      <c r="C200" t="s">
        <v>946</v>
      </c>
      <c r="D200" t="s">
        <v>547</v>
      </c>
    </row>
    <row r="201" spans="1:4">
      <c r="A201" t="s">
        <v>937</v>
      </c>
      <c r="B201" t="s">
        <v>937</v>
      </c>
      <c r="C201" t="s">
        <v>938</v>
      </c>
      <c r="D201" t="s">
        <v>544</v>
      </c>
    </row>
    <row r="202" spans="1:4">
      <c r="A202" t="s">
        <v>937</v>
      </c>
      <c r="B202" t="s">
        <v>947</v>
      </c>
      <c r="C202" t="s">
        <v>948</v>
      </c>
      <c r="D202" t="s">
        <v>547</v>
      </c>
    </row>
    <row r="203" spans="1:4">
      <c r="A203" t="s">
        <v>937</v>
      </c>
      <c r="B203" t="s">
        <v>949</v>
      </c>
      <c r="C203" t="s">
        <v>950</v>
      </c>
      <c r="D203" t="s">
        <v>547</v>
      </c>
    </row>
    <row r="204" spans="1:4">
      <c r="A204" t="s">
        <v>937</v>
      </c>
      <c r="B204" t="s">
        <v>951</v>
      </c>
      <c r="C204" t="s">
        <v>952</v>
      </c>
      <c r="D204" t="s">
        <v>547</v>
      </c>
    </row>
    <row r="205" spans="1:4">
      <c r="A205" t="s">
        <v>937</v>
      </c>
      <c r="B205" t="s">
        <v>953</v>
      </c>
      <c r="C205" t="s">
        <v>954</v>
      </c>
      <c r="D205" t="s">
        <v>547</v>
      </c>
    </row>
    <row r="206" spans="1:4">
      <c r="A206" t="s">
        <v>937</v>
      </c>
      <c r="B206" t="s">
        <v>955</v>
      </c>
      <c r="C206" t="s">
        <v>956</v>
      </c>
      <c r="D206" t="s">
        <v>609</v>
      </c>
    </row>
    <row r="207" spans="1:4">
      <c r="A207" t="s">
        <v>937</v>
      </c>
      <c r="B207" t="s">
        <v>957</v>
      </c>
      <c r="C207" t="s">
        <v>958</v>
      </c>
      <c r="D207" t="s">
        <v>547</v>
      </c>
    </row>
    <row r="208" spans="1:4">
      <c r="A208" t="s">
        <v>959</v>
      </c>
      <c r="B208" t="s">
        <v>961</v>
      </c>
      <c r="C208" t="s">
        <v>962</v>
      </c>
      <c r="D208" t="s">
        <v>598</v>
      </c>
    </row>
    <row r="209" spans="1:4">
      <c r="A209" t="s">
        <v>959</v>
      </c>
      <c r="B209" t="s">
        <v>963</v>
      </c>
      <c r="C209" t="s">
        <v>964</v>
      </c>
      <c r="D209" t="s">
        <v>547</v>
      </c>
    </row>
    <row r="210" spans="1:4">
      <c r="A210" t="s">
        <v>959</v>
      </c>
      <c r="B210" t="s">
        <v>965</v>
      </c>
      <c r="C210" t="s">
        <v>966</v>
      </c>
      <c r="D210" t="s">
        <v>547</v>
      </c>
    </row>
    <row r="211" spans="1:4">
      <c r="A211" t="s">
        <v>959</v>
      </c>
      <c r="B211" t="s">
        <v>959</v>
      </c>
      <c r="C211" t="s">
        <v>960</v>
      </c>
      <c r="D211" t="s">
        <v>544</v>
      </c>
    </row>
    <row r="212" spans="1:4">
      <c r="A212" t="s">
        <v>959</v>
      </c>
      <c r="B212" t="s">
        <v>967</v>
      </c>
      <c r="C212" t="s">
        <v>968</v>
      </c>
      <c r="D212" t="s">
        <v>547</v>
      </c>
    </row>
    <row r="213" spans="1:4">
      <c r="A213" t="s">
        <v>959</v>
      </c>
      <c r="B213" t="s">
        <v>969</v>
      </c>
      <c r="C213" t="s">
        <v>970</v>
      </c>
      <c r="D213" t="s">
        <v>547</v>
      </c>
    </row>
    <row r="214" spans="1:4">
      <c r="A214" t="s">
        <v>971</v>
      </c>
      <c r="B214" t="s">
        <v>973</v>
      </c>
      <c r="C214" t="s">
        <v>974</v>
      </c>
      <c r="D214" t="s">
        <v>547</v>
      </c>
    </row>
    <row r="215" spans="1:4">
      <c r="A215" t="s">
        <v>971</v>
      </c>
      <c r="B215" t="s">
        <v>975</v>
      </c>
      <c r="C215" t="s">
        <v>976</v>
      </c>
      <c r="D215" t="s">
        <v>547</v>
      </c>
    </row>
    <row r="216" spans="1:4">
      <c r="A216" t="s">
        <v>971</v>
      </c>
      <c r="B216" t="s">
        <v>977</v>
      </c>
      <c r="C216" t="s">
        <v>978</v>
      </c>
      <c r="D216" t="s">
        <v>547</v>
      </c>
    </row>
    <row r="217" spans="1:4">
      <c r="A217" t="s">
        <v>971</v>
      </c>
      <c r="B217" t="s">
        <v>979</v>
      </c>
      <c r="C217" t="s">
        <v>980</v>
      </c>
      <c r="D217" t="s">
        <v>547</v>
      </c>
    </row>
    <row r="218" spans="1:4">
      <c r="A218" t="s">
        <v>971</v>
      </c>
      <c r="B218" t="s">
        <v>981</v>
      </c>
      <c r="C218" t="s">
        <v>982</v>
      </c>
      <c r="D218" t="s">
        <v>547</v>
      </c>
    </row>
    <row r="219" spans="1:4">
      <c r="A219" t="s">
        <v>971</v>
      </c>
      <c r="B219" t="s">
        <v>983</v>
      </c>
      <c r="C219" t="s">
        <v>984</v>
      </c>
      <c r="D219" t="s">
        <v>547</v>
      </c>
    </row>
    <row r="220" spans="1:4">
      <c r="A220" t="s">
        <v>971</v>
      </c>
      <c r="B220" t="s">
        <v>985</v>
      </c>
      <c r="C220" t="s">
        <v>986</v>
      </c>
      <c r="D220" t="s">
        <v>547</v>
      </c>
    </row>
    <row r="221" spans="1:4">
      <c r="A221" t="s">
        <v>971</v>
      </c>
      <c r="B221" t="s">
        <v>987</v>
      </c>
      <c r="C221" t="s">
        <v>988</v>
      </c>
      <c r="D221" t="s">
        <v>547</v>
      </c>
    </row>
    <row r="222" spans="1:4">
      <c r="A222" t="s">
        <v>971</v>
      </c>
      <c r="B222" t="s">
        <v>971</v>
      </c>
      <c r="C222" t="s">
        <v>972</v>
      </c>
      <c r="D222" t="s">
        <v>544</v>
      </c>
    </row>
    <row r="223" spans="1:4">
      <c r="A223" t="s">
        <v>971</v>
      </c>
      <c r="B223" t="s">
        <v>989</v>
      </c>
      <c r="C223" t="s">
        <v>990</v>
      </c>
      <c r="D223" t="s">
        <v>547</v>
      </c>
    </row>
    <row r="224" spans="1:4">
      <c r="A224" t="s">
        <v>971</v>
      </c>
      <c r="B224" t="s">
        <v>991</v>
      </c>
      <c r="C224" t="s">
        <v>992</v>
      </c>
      <c r="D224" t="s">
        <v>547</v>
      </c>
    </row>
    <row r="225" spans="1:4">
      <c r="A225" t="s">
        <v>971</v>
      </c>
      <c r="B225" t="s">
        <v>993</v>
      </c>
      <c r="C225" t="s">
        <v>994</v>
      </c>
      <c r="D225" t="s">
        <v>547</v>
      </c>
    </row>
    <row r="226" spans="1:4">
      <c r="A226" t="s">
        <v>971</v>
      </c>
      <c r="B226" t="s">
        <v>995</v>
      </c>
      <c r="C226" t="s">
        <v>996</v>
      </c>
      <c r="D226" t="s">
        <v>547</v>
      </c>
    </row>
    <row r="227" spans="1:4">
      <c r="A227" t="s">
        <v>971</v>
      </c>
      <c r="B227" t="s">
        <v>997</v>
      </c>
      <c r="C227" t="s">
        <v>998</v>
      </c>
      <c r="D227" t="s">
        <v>547</v>
      </c>
    </row>
    <row r="228" spans="1:4">
      <c r="A228" t="s">
        <v>999</v>
      </c>
      <c r="B228" t="s">
        <v>1001</v>
      </c>
      <c r="C228" t="s">
        <v>1002</v>
      </c>
      <c r="D228" t="s">
        <v>547</v>
      </c>
    </row>
    <row r="229" spans="1:4">
      <c r="A229" t="s">
        <v>999</v>
      </c>
      <c r="B229" t="s">
        <v>1003</v>
      </c>
      <c r="C229" t="s">
        <v>1004</v>
      </c>
      <c r="D229" t="s">
        <v>598</v>
      </c>
    </row>
    <row r="230" spans="1:4">
      <c r="A230" t="s">
        <v>999</v>
      </c>
      <c r="B230" t="s">
        <v>1005</v>
      </c>
      <c r="C230" t="s">
        <v>1006</v>
      </c>
      <c r="D230" t="s">
        <v>547</v>
      </c>
    </row>
    <row r="231" spans="1:4">
      <c r="A231" t="s">
        <v>999</v>
      </c>
      <c r="B231" t="s">
        <v>1007</v>
      </c>
      <c r="C231" t="s">
        <v>1008</v>
      </c>
      <c r="D231" t="s">
        <v>547</v>
      </c>
    </row>
    <row r="232" spans="1:4">
      <c r="A232" t="s">
        <v>999</v>
      </c>
      <c r="B232" t="s">
        <v>999</v>
      </c>
      <c r="C232" t="s">
        <v>1000</v>
      </c>
      <c r="D232" t="s">
        <v>544</v>
      </c>
    </row>
    <row r="233" spans="1:4">
      <c r="A233" t="s">
        <v>999</v>
      </c>
      <c r="B233" t="s">
        <v>1009</v>
      </c>
      <c r="C233" t="s">
        <v>1010</v>
      </c>
      <c r="D233" t="s">
        <v>547</v>
      </c>
    </row>
    <row r="234" spans="1:4">
      <c r="A234" t="s">
        <v>1011</v>
      </c>
      <c r="B234" t="s">
        <v>1011</v>
      </c>
      <c r="C234" t="s">
        <v>1012</v>
      </c>
      <c r="D234" t="s">
        <v>690</v>
      </c>
    </row>
    <row r="235" spans="1:4">
      <c r="A235" t="s">
        <v>1013</v>
      </c>
      <c r="B235" t="s">
        <v>1015</v>
      </c>
      <c r="C235" t="s">
        <v>1016</v>
      </c>
      <c r="D235" t="s">
        <v>547</v>
      </c>
    </row>
    <row r="236" spans="1:4">
      <c r="A236" t="s">
        <v>1013</v>
      </c>
      <c r="B236" t="s">
        <v>1017</v>
      </c>
      <c r="C236" t="s">
        <v>1018</v>
      </c>
      <c r="D236" t="s">
        <v>598</v>
      </c>
    </row>
    <row r="237" spans="1:4">
      <c r="A237" t="s">
        <v>1013</v>
      </c>
      <c r="B237" t="s">
        <v>1019</v>
      </c>
      <c r="C237" t="s">
        <v>1020</v>
      </c>
      <c r="D237" t="s">
        <v>598</v>
      </c>
    </row>
    <row r="238" spans="1:4">
      <c r="A238" t="s">
        <v>1013</v>
      </c>
      <c r="B238" t="s">
        <v>1021</v>
      </c>
      <c r="C238" t="s">
        <v>1022</v>
      </c>
      <c r="D238" t="s">
        <v>609</v>
      </c>
    </row>
    <row r="239" spans="1:4">
      <c r="A239" t="s">
        <v>1013</v>
      </c>
      <c r="B239" t="s">
        <v>1023</v>
      </c>
      <c r="C239" t="s">
        <v>1024</v>
      </c>
      <c r="D239" t="s">
        <v>609</v>
      </c>
    </row>
    <row r="240" spans="1:4">
      <c r="A240" t="s">
        <v>1013</v>
      </c>
      <c r="B240" t="s">
        <v>1025</v>
      </c>
      <c r="C240" t="s">
        <v>1026</v>
      </c>
      <c r="D240" t="s">
        <v>609</v>
      </c>
    </row>
    <row r="241" spans="1:4">
      <c r="A241" t="s">
        <v>1013</v>
      </c>
      <c r="B241" t="s">
        <v>1027</v>
      </c>
      <c r="C241" t="s">
        <v>1028</v>
      </c>
      <c r="D241" t="s">
        <v>547</v>
      </c>
    </row>
    <row r="242" spans="1:4">
      <c r="A242" t="s">
        <v>1013</v>
      </c>
      <c r="B242" t="s">
        <v>1013</v>
      </c>
      <c r="C242" t="s">
        <v>1014</v>
      </c>
      <c r="D242" t="s">
        <v>544</v>
      </c>
    </row>
    <row r="243" spans="1:4">
      <c r="A243" t="s">
        <v>1029</v>
      </c>
      <c r="B243" t="s">
        <v>1031</v>
      </c>
      <c r="C243" t="s">
        <v>1032</v>
      </c>
      <c r="D243" t="s">
        <v>547</v>
      </c>
    </row>
    <row r="244" spans="1:4">
      <c r="A244" t="s">
        <v>1029</v>
      </c>
      <c r="B244" t="s">
        <v>1033</v>
      </c>
      <c r="C244" t="s">
        <v>1034</v>
      </c>
      <c r="D244" t="s">
        <v>547</v>
      </c>
    </row>
    <row r="245" spans="1:4">
      <c r="A245" t="s">
        <v>1029</v>
      </c>
      <c r="B245" t="s">
        <v>1035</v>
      </c>
      <c r="C245" t="s">
        <v>1036</v>
      </c>
      <c r="D245" t="s">
        <v>547</v>
      </c>
    </row>
    <row r="246" spans="1:4">
      <c r="A246" t="s">
        <v>1029</v>
      </c>
      <c r="B246" t="s">
        <v>1037</v>
      </c>
      <c r="C246" t="s">
        <v>1038</v>
      </c>
      <c r="D246" t="s">
        <v>547</v>
      </c>
    </row>
    <row r="247" spans="1:4">
      <c r="A247" t="s">
        <v>1029</v>
      </c>
      <c r="B247" t="s">
        <v>1039</v>
      </c>
      <c r="C247" t="s">
        <v>1040</v>
      </c>
      <c r="D247" t="s">
        <v>547</v>
      </c>
    </row>
    <row r="248" spans="1:4">
      <c r="A248" t="s">
        <v>1029</v>
      </c>
      <c r="B248" t="s">
        <v>1041</v>
      </c>
      <c r="C248" t="s">
        <v>1042</v>
      </c>
      <c r="D248" t="s">
        <v>547</v>
      </c>
    </row>
    <row r="249" spans="1:4">
      <c r="A249" t="s">
        <v>1029</v>
      </c>
      <c r="B249" t="s">
        <v>1043</v>
      </c>
      <c r="C249" t="s">
        <v>1044</v>
      </c>
      <c r="D249" t="s">
        <v>547</v>
      </c>
    </row>
    <row r="250" spans="1:4">
      <c r="A250" t="s">
        <v>1029</v>
      </c>
      <c r="B250" t="s">
        <v>1045</v>
      </c>
      <c r="C250" t="s">
        <v>1046</v>
      </c>
      <c r="D250" t="s">
        <v>547</v>
      </c>
    </row>
    <row r="251" spans="1:4">
      <c r="A251" t="s">
        <v>1029</v>
      </c>
      <c r="B251" t="s">
        <v>1047</v>
      </c>
      <c r="C251" t="s">
        <v>1048</v>
      </c>
      <c r="D251" t="s">
        <v>547</v>
      </c>
    </row>
    <row r="252" spans="1:4">
      <c r="A252" t="s">
        <v>1029</v>
      </c>
      <c r="B252" t="s">
        <v>1049</v>
      </c>
      <c r="C252" t="s">
        <v>1050</v>
      </c>
      <c r="D252" t="s">
        <v>547</v>
      </c>
    </row>
    <row r="253" spans="1:4">
      <c r="A253" t="s">
        <v>1029</v>
      </c>
      <c r="B253" t="s">
        <v>1051</v>
      </c>
      <c r="C253" t="s">
        <v>1052</v>
      </c>
      <c r="D253" t="s">
        <v>547</v>
      </c>
    </row>
    <row r="254" spans="1:4">
      <c r="A254" t="s">
        <v>1029</v>
      </c>
      <c r="B254" t="s">
        <v>1053</v>
      </c>
      <c r="C254" t="s">
        <v>1054</v>
      </c>
      <c r="D254" t="s">
        <v>547</v>
      </c>
    </row>
    <row r="255" spans="1:4">
      <c r="A255" t="s">
        <v>1029</v>
      </c>
      <c r="B255" t="s">
        <v>1055</v>
      </c>
      <c r="C255" t="s">
        <v>1056</v>
      </c>
      <c r="D255" t="s">
        <v>547</v>
      </c>
    </row>
    <row r="256" spans="1:4">
      <c r="A256" t="s">
        <v>1029</v>
      </c>
      <c r="B256" t="s">
        <v>1057</v>
      </c>
      <c r="C256" t="s">
        <v>1058</v>
      </c>
      <c r="D256" t="s">
        <v>547</v>
      </c>
    </row>
    <row r="257" spans="1:4">
      <c r="A257" t="s">
        <v>1029</v>
      </c>
      <c r="B257" t="s">
        <v>1029</v>
      </c>
      <c r="C257" t="s">
        <v>1030</v>
      </c>
      <c r="D257" t="s">
        <v>544</v>
      </c>
    </row>
    <row r="258" spans="1:4">
      <c r="A258" t="s">
        <v>1029</v>
      </c>
      <c r="B258" t="s">
        <v>1059</v>
      </c>
      <c r="C258" t="s">
        <v>1060</v>
      </c>
      <c r="D258" t="s">
        <v>547</v>
      </c>
    </row>
    <row r="259" spans="1:4">
      <c r="A259" t="s">
        <v>1029</v>
      </c>
      <c r="B259" t="s">
        <v>1061</v>
      </c>
      <c r="C259" t="s">
        <v>1062</v>
      </c>
      <c r="D259" t="s">
        <v>547</v>
      </c>
    </row>
    <row r="260" spans="1:4">
      <c r="A260" t="s">
        <v>1063</v>
      </c>
      <c r="B260" t="s">
        <v>1065</v>
      </c>
      <c r="C260" t="s">
        <v>1066</v>
      </c>
      <c r="D260" t="s">
        <v>547</v>
      </c>
    </row>
    <row r="261" spans="1:4">
      <c r="A261" t="s">
        <v>1063</v>
      </c>
      <c r="B261" t="s">
        <v>1067</v>
      </c>
      <c r="C261" t="s">
        <v>1068</v>
      </c>
      <c r="D261" t="s">
        <v>547</v>
      </c>
    </row>
    <row r="262" spans="1:4">
      <c r="A262" t="s">
        <v>1063</v>
      </c>
      <c r="B262" t="s">
        <v>1069</v>
      </c>
      <c r="C262" t="s">
        <v>1070</v>
      </c>
      <c r="D262" t="s">
        <v>547</v>
      </c>
    </row>
    <row r="263" spans="1:4">
      <c r="A263" t="s">
        <v>1063</v>
      </c>
      <c r="B263" t="s">
        <v>1071</v>
      </c>
      <c r="C263" t="s">
        <v>1072</v>
      </c>
      <c r="D263" t="s">
        <v>547</v>
      </c>
    </row>
    <row r="264" spans="1:4">
      <c r="A264" t="s">
        <v>1063</v>
      </c>
      <c r="B264" t="s">
        <v>1073</v>
      </c>
      <c r="C264" t="s">
        <v>1074</v>
      </c>
      <c r="D264" t="s">
        <v>547</v>
      </c>
    </row>
    <row r="265" spans="1:4">
      <c r="A265" t="s">
        <v>1063</v>
      </c>
      <c r="B265" t="s">
        <v>1075</v>
      </c>
      <c r="C265" t="s">
        <v>1076</v>
      </c>
      <c r="D265" t="s">
        <v>547</v>
      </c>
    </row>
    <row r="266" spans="1:4">
      <c r="A266" t="s">
        <v>1063</v>
      </c>
      <c r="B266" t="s">
        <v>1077</v>
      </c>
      <c r="C266" t="s">
        <v>1078</v>
      </c>
      <c r="D266" t="s">
        <v>547</v>
      </c>
    </row>
    <row r="267" spans="1:4">
      <c r="A267" t="s">
        <v>1063</v>
      </c>
      <c r="B267" t="s">
        <v>1079</v>
      </c>
      <c r="C267" t="s">
        <v>1080</v>
      </c>
      <c r="D267" t="s">
        <v>547</v>
      </c>
    </row>
    <row r="268" spans="1:4">
      <c r="A268" t="s">
        <v>1063</v>
      </c>
      <c r="B268" t="s">
        <v>1081</v>
      </c>
      <c r="C268" t="s">
        <v>1082</v>
      </c>
      <c r="D268" t="s">
        <v>547</v>
      </c>
    </row>
    <row r="269" spans="1:4">
      <c r="A269" t="s">
        <v>1063</v>
      </c>
      <c r="B269" t="s">
        <v>1083</v>
      </c>
      <c r="C269" t="s">
        <v>1084</v>
      </c>
      <c r="D269" t="s">
        <v>547</v>
      </c>
    </row>
    <row r="270" spans="1:4">
      <c r="A270" t="s">
        <v>1063</v>
      </c>
      <c r="B270" t="s">
        <v>1085</v>
      </c>
      <c r="C270" t="s">
        <v>1086</v>
      </c>
      <c r="D270" t="s">
        <v>547</v>
      </c>
    </row>
    <row r="271" spans="1:4">
      <c r="A271" t="s">
        <v>1063</v>
      </c>
      <c r="B271" t="s">
        <v>1063</v>
      </c>
      <c r="C271" t="s">
        <v>1064</v>
      </c>
      <c r="D271" t="s">
        <v>544</v>
      </c>
    </row>
    <row r="272" spans="1:4">
      <c r="A272" t="s">
        <v>1063</v>
      </c>
      <c r="B272" t="s">
        <v>1087</v>
      </c>
      <c r="C272" t="s">
        <v>1088</v>
      </c>
      <c r="D272" t="s">
        <v>547</v>
      </c>
    </row>
    <row r="273" spans="1:4">
      <c r="A273" t="s">
        <v>1063</v>
      </c>
      <c r="B273" t="s">
        <v>1089</v>
      </c>
      <c r="C273" t="s">
        <v>1090</v>
      </c>
      <c r="D273" t="s">
        <v>547</v>
      </c>
    </row>
    <row r="274" spans="1:4">
      <c r="A274" t="s">
        <v>1063</v>
      </c>
      <c r="B274" t="s">
        <v>1091</v>
      </c>
      <c r="C274" t="s">
        <v>1092</v>
      </c>
      <c r="D274" t="s">
        <v>547</v>
      </c>
    </row>
    <row r="275" spans="1:4">
      <c r="A275" t="s">
        <v>1093</v>
      </c>
      <c r="B275" t="s">
        <v>1095</v>
      </c>
      <c r="C275" t="s">
        <v>1096</v>
      </c>
      <c r="D275" t="s">
        <v>547</v>
      </c>
    </row>
    <row r="276" spans="1:4">
      <c r="A276" t="s">
        <v>1093</v>
      </c>
      <c r="B276" t="s">
        <v>1097</v>
      </c>
      <c r="C276" t="s">
        <v>1098</v>
      </c>
      <c r="D276" t="s">
        <v>547</v>
      </c>
    </row>
    <row r="277" spans="1:4">
      <c r="A277" t="s">
        <v>1093</v>
      </c>
      <c r="B277" t="s">
        <v>1099</v>
      </c>
      <c r="C277" t="s">
        <v>1100</v>
      </c>
      <c r="D277" t="s">
        <v>547</v>
      </c>
    </row>
    <row r="278" spans="1:4">
      <c r="A278" t="s">
        <v>1093</v>
      </c>
      <c r="B278" t="s">
        <v>1101</v>
      </c>
      <c r="C278" t="s">
        <v>1102</v>
      </c>
      <c r="D278" t="s">
        <v>547</v>
      </c>
    </row>
    <row r="279" spans="1:4">
      <c r="A279" t="s">
        <v>1093</v>
      </c>
      <c r="B279" t="s">
        <v>1103</v>
      </c>
      <c r="C279" t="s">
        <v>1104</v>
      </c>
      <c r="D279" t="s">
        <v>547</v>
      </c>
    </row>
    <row r="280" spans="1:4">
      <c r="A280" t="s">
        <v>1093</v>
      </c>
      <c r="B280" t="s">
        <v>1105</v>
      </c>
      <c r="C280" t="s">
        <v>1106</v>
      </c>
      <c r="D280" t="s">
        <v>547</v>
      </c>
    </row>
    <row r="281" spans="1:4">
      <c r="A281" t="s">
        <v>1093</v>
      </c>
      <c r="B281" t="s">
        <v>1107</v>
      </c>
      <c r="C281" t="s">
        <v>1108</v>
      </c>
      <c r="D281" t="s">
        <v>547</v>
      </c>
    </row>
    <row r="282" spans="1:4">
      <c r="A282" t="s">
        <v>1093</v>
      </c>
      <c r="B282" t="s">
        <v>1093</v>
      </c>
      <c r="C282" t="s">
        <v>1094</v>
      </c>
      <c r="D282" t="s">
        <v>544</v>
      </c>
    </row>
    <row r="283" spans="1:4">
      <c r="A283" t="s">
        <v>1093</v>
      </c>
      <c r="B283" t="s">
        <v>1109</v>
      </c>
      <c r="C283" t="s">
        <v>1110</v>
      </c>
      <c r="D283" t="s">
        <v>547</v>
      </c>
    </row>
    <row r="284" spans="1:4">
      <c r="A284" t="s">
        <v>1093</v>
      </c>
      <c r="B284" t="s">
        <v>1111</v>
      </c>
      <c r="C284" t="s">
        <v>1112</v>
      </c>
      <c r="D284" t="s">
        <v>547</v>
      </c>
    </row>
    <row r="285" spans="1:4">
      <c r="A285" t="s">
        <v>1093</v>
      </c>
      <c r="B285" t="s">
        <v>1113</v>
      </c>
      <c r="C285" t="s">
        <v>1114</v>
      </c>
      <c r="D285" t="s">
        <v>547</v>
      </c>
    </row>
    <row r="286" spans="1:4">
      <c r="A286" t="s">
        <v>1115</v>
      </c>
      <c r="B286" t="s">
        <v>1117</v>
      </c>
      <c r="C286" t="s">
        <v>1118</v>
      </c>
      <c r="D286" t="s">
        <v>547</v>
      </c>
    </row>
    <row r="287" spans="1:4">
      <c r="A287" t="s">
        <v>1115</v>
      </c>
      <c r="B287" t="s">
        <v>1119</v>
      </c>
      <c r="C287" t="s">
        <v>1120</v>
      </c>
      <c r="D287" t="s">
        <v>547</v>
      </c>
    </row>
    <row r="288" spans="1:4">
      <c r="A288" t="s">
        <v>1115</v>
      </c>
      <c r="B288" t="s">
        <v>1121</v>
      </c>
      <c r="C288" t="s">
        <v>1122</v>
      </c>
      <c r="D288" t="s">
        <v>547</v>
      </c>
    </row>
    <row r="289" spans="1:4">
      <c r="A289" t="s">
        <v>1115</v>
      </c>
      <c r="B289" t="s">
        <v>1123</v>
      </c>
      <c r="C289" t="s">
        <v>1124</v>
      </c>
      <c r="D289" t="s">
        <v>547</v>
      </c>
    </row>
    <row r="290" spans="1:4">
      <c r="A290" t="s">
        <v>1115</v>
      </c>
      <c r="B290" t="s">
        <v>1125</v>
      </c>
      <c r="C290" t="s">
        <v>1126</v>
      </c>
      <c r="D290" t="s">
        <v>547</v>
      </c>
    </row>
    <row r="291" spans="1:4">
      <c r="A291" t="s">
        <v>1115</v>
      </c>
      <c r="B291" t="s">
        <v>1127</v>
      </c>
      <c r="C291" t="s">
        <v>1128</v>
      </c>
      <c r="D291" t="s">
        <v>547</v>
      </c>
    </row>
    <row r="292" spans="1:4">
      <c r="A292" t="s">
        <v>1115</v>
      </c>
      <c r="B292" t="s">
        <v>1129</v>
      </c>
      <c r="C292" t="s">
        <v>1130</v>
      </c>
      <c r="D292" t="s">
        <v>547</v>
      </c>
    </row>
    <row r="293" spans="1:4">
      <c r="A293" t="s">
        <v>1115</v>
      </c>
      <c r="B293" t="s">
        <v>1131</v>
      </c>
      <c r="C293" t="s">
        <v>1132</v>
      </c>
      <c r="D293" t="s">
        <v>547</v>
      </c>
    </row>
    <row r="294" spans="1:4">
      <c r="A294" t="s">
        <v>1115</v>
      </c>
      <c r="B294" t="s">
        <v>676</v>
      </c>
      <c r="C294" t="s">
        <v>1133</v>
      </c>
      <c r="D294" t="s">
        <v>547</v>
      </c>
    </row>
    <row r="295" spans="1:4">
      <c r="A295" t="s">
        <v>1115</v>
      </c>
      <c r="B295" t="s">
        <v>1134</v>
      </c>
      <c r="C295" t="s">
        <v>1135</v>
      </c>
      <c r="D295" t="s">
        <v>547</v>
      </c>
    </row>
    <row r="296" spans="1:4">
      <c r="A296" t="s">
        <v>1115</v>
      </c>
      <c r="B296" t="s">
        <v>1115</v>
      </c>
      <c r="C296" t="s">
        <v>1116</v>
      </c>
      <c r="D296" t="s">
        <v>544</v>
      </c>
    </row>
    <row r="297" spans="1:4">
      <c r="A297" t="s">
        <v>1115</v>
      </c>
      <c r="B297" t="s">
        <v>1136</v>
      </c>
      <c r="C297" t="s">
        <v>1137</v>
      </c>
      <c r="D297" t="s">
        <v>547</v>
      </c>
    </row>
    <row r="298" spans="1:4">
      <c r="A298" t="s">
        <v>1138</v>
      </c>
      <c r="B298" t="s">
        <v>1140</v>
      </c>
      <c r="C298" t="s">
        <v>1141</v>
      </c>
      <c r="D298" t="s">
        <v>547</v>
      </c>
    </row>
    <row r="299" spans="1:4">
      <c r="A299" t="s">
        <v>1138</v>
      </c>
      <c r="B299" t="s">
        <v>1142</v>
      </c>
      <c r="C299" t="s">
        <v>1143</v>
      </c>
      <c r="D299" t="s">
        <v>547</v>
      </c>
    </row>
    <row r="300" spans="1:4">
      <c r="A300" t="s">
        <v>1138</v>
      </c>
      <c r="B300" t="s">
        <v>1144</v>
      </c>
      <c r="C300" t="s">
        <v>1145</v>
      </c>
      <c r="D300" t="s">
        <v>547</v>
      </c>
    </row>
    <row r="301" spans="1:4">
      <c r="A301" t="s">
        <v>1138</v>
      </c>
      <c r="B301" t="s">
        <v>1146</v>
      </c>
      <c r="C301" t="s">
        <v>1147</v>
      </c>
      <c r="D301" t="s">
        <v>547</v>
      </c>
    </row>
    <row r="302" spans="1:4">
      <c r="A302" t="s">
        <v>1138</v>
      </c>
      <c r="B302" t="s">
        <v>1148</v>
      </c>
      <c r="C302" t="s">
        <v>1149</v>
      </c>
      <c r="D302" t="s">
        <v>547</v>
      </c>
    </row>
    <row r="303" spans="1:4">
      <c r="A303" t="s">
        <v>1138</v>
      </c>
      <c r="B303" t="s">
        <v>1150</v>
      </c>
      <c r="C303" t="s">
        <v>1151</v>
      </c>
      <c r="D303" t="s">
        <v>547</v>
      </c>
    </row>
    <row r="304" spans="1:4">
      <c r="A304" t="s">
        <v>1138</v>
      </c>
      <c r="B304" t="s">
        <v>1152</v>
      </c>
      <c r="C304" t="s">
        <v>1153</v>
      </c>
      <c r="D304" t="s">
        <v>547</v>
      </c>
    </row>
    <row r="305" spans="1:4">
      <c r="A305" t="s">
        <v>1138</v>
      </c>
      <c r="B305" t="s">
        <v>1154</v>
      </c>
      <c r="C305" t="s">
        <v>1155</v>
      </c>
      <c r="D305" t="s">
        <v>547</v>
      </c>
    </row>
    <row r="306" spans="1:4">
      <c r="A306" t="s">
        <v>1138</v>
      </c>
      <c r="B306" t="s">
        <v>1138</v>
      </c>
      <c r="C306" t="s">
        <v>1139</v>
      </c>
      <c r="D306" t="s">
        <v>544</v>
      </c>
    </row>
    <row r="307" spans="1:4">
      <c r="A307" t="s">
        <v>1138</v>
      </c>
      <c r="B307" t="s">
        <v>1156</v>
      </c>
      <c r="C307" t="s">
        <v>1157</v>
      </c>
      <c r="D307" t="s">
        <v>547</v>
      </c>
    </row>
    <row r="308" spans="1:4">
      <c r="A308" t="s">
        <v>1158</v>
      </c>
      <c r="B308" t="s">
        <v>1160</v>
      </c>
      <c r="C308" t="s">
        <v>1161</v>
      </c>
      <c r="D308" t="s">
        <v>547</v>
      </c>
    </row>
    <row r="309" spans="1:4">
      <c r="A309" t="s">
        <v>1158</v>
      </c>
      <c r="B309" t="s">
        <v>1162</v>
      </c>
      <c r="C309" t="s">
        <v>1163</v>
      </c>
      <c r="D309" t="s">
        <v>547</v>
      </c>
    </row>
    <row r="310" spans="1:4">
      <c r="A310" t="s">
        <v>1158</v>
      </c>
      <c r="B310" t="s">
        <v>1081</v>
      </c>
      <c r="C310" t="s">
        <v>1164</v>
      </c>
      <c r="D310" t="s">
        <v>547</v>
      </c>
    </row>
    <row r="311" spans="1:4">
      <c r="A311" t="s">
        <v>1158</v>
      </c>
      <c r="B311" t="s">
        <v>1165</v>
      </c>
      <c r="C311" t="s">
        <v>1166</v>
      </c>
      <c r="D311" t="s">
        <v>547</v>
      </c>
    </row>
    <row r="312" spans="1:4">
      <c r="A312" t="s">
        <v>1158</v>
      </c>
      <c r="B312" t="s">
        <v>1167</v>
      </c>
      <c r="C312" t="s">
        <v>1168</v>
      </c>
      <c r="D312" t="s">
        <v>547</v>
      </c>
    </row>
    <row r="313" spans="1:4">
      <c r="A313" t="s">
        <v>1158</v>
      </c>
      <c r="B313" t="s">
        <v>1169</v>
      </c>
      <c r="C313" t="s">
        <v>1170</v>
      </c>
      <c r="D313" t="s">
        <v>547</v>
      </c>
    </row>
    <row r="314" spans="1:4">
      <c r="A314" t="s">
        <v>1158</v>
      </c>
      <c r="B314" t="s">
        <v>1171</v>
      </c>
      <c r="C314" t="s">
        <v>1172</v>
      </c>
      <c r="D314" t="s">
        <v>547</v>
      </c>
    </row>
    <row r="315" spans="1:4">
      <c r="A315" t="s">
        <v>1158</v>
      </c>
      <c r="B315" t="s">
        <v>1173</v>
      </c>
      <c r="C315" t="s">
        <v>1174</v>
      </c>
      <c r="D315" t="s">
        <v>547</v>
      </c>
    </row>
    <row r="316" spans="1:4">
      <c r="A316" t="s">
        <v>1158</v>
      </c>
      <c r="B316" t="s">
        <v>1175</v>
      </c>
      <c r="C316" t="s">
        <v>1176</v>
      </c>
      <c r="D316" t="s">
        <v>547</v>
      </c>
    </row>
    <row r="317" spans="1:4">
      <c r="A317" t="s">
        <v>1158</v>
      </c>
      <c r="B317" t="s">
        <v>1177</v>
      </c>
      <c r="C317" t="s">
        <v>1178</v>
      </c>
      <c r="D317" t="s">
        <v>547</v>
      </c>
    </row>
    <row r="318" spans="1:4">
      <c r="A318" t="s">
        <v>1158</v>
      </c>
      <c r="B318" t="s">
        <v>1179</v>
      </c>
      <c r="C318" t="s">
        <v>1180</v>
      </c>
      <c r="D318" t="s">
        <v>547</v>
      </c>
    </row>
    <row r="319" spans="1:4">
      <c r="A319" t="s">
        <v>1158</v>
      </c>
      <c r="B319" t="s">
        <v>1158</v>
      </c>
      <c r="C319" t="s">
        <v>1159</v>
      </c>
      <c r="D319" t="s">
        <v>544</v>
      </c>
    </row>
    <row r="320" spans="1:4">
      <c r="A320" t="s">
        <v>1158</v>
      </c>
      <c r="B320" t="s">
        <v>1181</v>
      </c>
      <c r="C320" t="s">
        <v>1182</v>
      </c>
      <c r="D320" t="s">
        <v>547</v>
      </c>
    </row>
  </sheetData>
  <phoneticPr fontId="10" type="noConversion"/>
  <pageMargins left="0.75" right="0.75" top="1" bottom="1" header="0.5" footer="0.5"/>
  <pageSetup paperSize="9" orientation="portrait" horizontalDpi="0"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tabColor indexed="47"/>
  </sheetPr>
  <dimension ref="A1"/>
  <sheetViews>
    <sheetView zoomScaleNormal="100" workbookViewId="0"/>
  </sheetViews>
  <sheetFormatPr defaultColWidth="9.140625" defaultRowHeight="11.25"/>
  <cols>
    <col min="1" max="16384" width="9.140625" style="3"/>
  </cols>
  <sheetData/>
  <sheetProtection formatColumns="0" formatRows="0"/>
  <phoneticPr fontId="1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IP">
    <tabColor indexed="47"/>
  </sheetPr>
  <dimension ref="A1:Q15"/>
  <sheetViews>
    <sheetView workbookViewId="0"/>
  </sheetViews>
  <sheetFormatPr defaultRowHeight="11.25"/>
  <cols>
    <col min="2" max="2" width="9.140625" style="282"/>
  </cols>
  <sheetData>
    <row r="1" spans="1:17">
      <c r="B1" s="310" t="s">
        <v>398</v>
      </c>
      <c r="C1" s="310" t="s">
        <v>399</v>
      </c>
      <c r="D1" s="310" t="s">
        <v>400</v>
      </c>
      <c r="E1" s="310" t="s">
        <v>401</v>
      </c>
      <c r="F1" s="310" t="s">
        <v>402</v>
      </c>
      <c r="G1" s="310" t="s">
        <v>403</v>
      </c>
      <c r="H1" s="310" t="s">
        <v>404</v>
      </c>
      <c r="I1" s="310" t="s">
        <v>405</v>
      </c>
      <c r="J1" s="310" t="s">
        <v>406</v>
      </c>
      <c r="K1" s="310" t="s">
        <v>407</v>
      </c>
      <c r="L1" s="310" t="s">
        <v>408</v>
      </c>
      <c r="M1" s="310" t="s">
        <v>409</v>
      </c>
      <c r="N1" s="310" t="s">
        <v>410</v>
      </c>
      <c r="O1" s="310" t="s">
        <v>411</v>
      </c>
      <c r="P1" s="310" t="s">
        <v>412</v>
      </c>
      <c r="Q1" s="310" t="s">
        <v>413</v>
      </c>
    </row>
    <row r="2" spans="1:17">
      <c r="A2">
        <v>1</v>
      </c>
      <c r="B2" s="310" t="s">
        <v>414</v>
      </c>
      <c r="C2" s="310" t="s">
        <v>415</v>
      </c>
      <c r="D2" s="310" t="s">
        <v>416</v>
      </c>
      <c r="E2" s="310" t="s">
        <v>417</v>
      </c>
      <c r="F2" s="310" t="s">
        <v>418</v>
      </c>
      <c r="G2" s="310" t="s">
        <v>419</v>
      </c>
      <c r="H2" s="310" t="s">
        <v>420</v>
      </c>
      <c r="I2" s="310" t="s">
        <v>421</v>
      </c>
      <c r="J2" s="310"/>
      <c r="K2" s="310" t="s">
        <v>422</v>
      </c>
      <c r="L2" s="310" t="s">
        <v>423</v>
      </c>
      <c r="M2" s="310" t="s">
        <v>424</v>
      </c>
      <c r="N2" s="310" t="s">
        <v>425</v>
      </c>
      <c r="O2" s="310" t="s">
        <v>426</v>
      </c>
      <c r="P2" s="310" t="s">
        <v>427</v>
      </c>
      <c r="Q2" s="310" t="s">
        <v>428</v>
      </c>
    </row>
    <row r="3" spans="1:17">
      <c r="A3">
        <v>2</v>
      </c>
      <c r="B3" s="310" t="s">
        <v>429</v>
      </c>
      <c r="C3" s="310" t="s">
        <v>430</v>
      </c>
      <c r="D3" s="310" t="s">
        <v>431</v>
      </c>
      <c r="E3" s="310" t="s">
        <v>432</v>
      </c>
      <c r="F3" s="310" t="s">
        <v>433</v>
      </c>
      <c r="G3" s="310" t="s">
        <v>434</v>
      </c>
      <c r="H3" s="310" t="s">
        <v>435</v>
      </c>
      <c r="I3" s="310" t="s">
        <v>436</v>
      </c>
      <c r="J3" s="310"/>
      <c r="K3" s="310" t="s">
        <v>422</v>
      </c>
      <c r="L3" s="310" t="s">
        <v>437</v>
      </c>
      <c r="M3" s="310" t="s">
        <v>438</v>
      </c>
      <c r="N3" s="310" t="s">
        <v>425</v>
      </c>
      <c r="O3" s="310" t="s">
        <v>439</v>
      </c>
      <c r="P3" s="310" t="s">
        <v>440</v>
      </c>
      <c r="Q3" s="310" t="s">
        <v>441</v>
      </c>
    </row>
    <row r="4" spans="1:17">
      <c r="A4">
        <v>3</v>
      </c>
      <c r="B4" s="310" t="s">
        <v>429</v>
      </c>
      <c r="C4" s="310" t="s">
        <v>430</v>
      </c>
      <c r="D4" s="310" t="s">
        <v>431</v>
      </c>
      <c r="E4" s="310" t="s">
        <v>442</v>
      </c>
      <c r="F4" s="310" t="s">
        <v>433</v>
      </c>
      <c r="G4" s="310" t="s">
        <v>434</v>
      </c>
      <c r="H4" s="310" t="s">
        <v>435</v>
      </c>
      <c r="I4" s="310" t="s">
        <v>436</v>
      </c>
      <c r="J4" s="310"/>
      <c r="K4" s="310" t="s">
        <v>443</v>
      </c>
      <c r="L4" s="310" t="s">
        <v>437</v>
      </c>
      <c r="M4" s="310" t="s">
        <v>438</v>
      </c>
      <c r="N4" s="310" t="s">
        <v>425</v>
      </c>
      <c r="O4" s="310" t="s">
        <v>439</v>
      </c>
      <c r="P4" s="310" t="s">
        <v>444</v>
      </c>
      <c r="Q4" s="310" t="s">
        <v>441</v>
      </c>
    </row>
    <row r="5" spans="1:17">
      <c r="A5">
        <v>4</v>
      </c>
      <c r="B5" s="310" t="s">
        <v>429</v>
      </c>
      <c r="C5" s="310" t="s">
        <v>430</v>
      </c>
      <c r="D5" s="310" t="s">
        <v>431</v>
      </c>
      <c r="E5" s="310" t="s">
        <v>445</v>
      </c>
      <c r="F5" s="310" t="s">
        <v>433</v>
      </c>
      <c r="G5" s="310" t="s">
        <v>434</v>
      </c>
      <c r="H5" s="310" t="s">
        <v>435</v>
      </c>
      <c r="I5" s="310" t="s">
        <v>436</v>
      </c>
      <c r="J5" s="310"/>
      <c r="K5" s="310" t="s">
        <v>446</v>
      </c>
      <c r="L5" s="310" t="s">
        <v>437</v>
      </c>
      <c r="M5" s="310" t="s">
        <v>438</v>
      </c>
      <c r="N5" s="310" t="s">
        <v>425</v>
      </c>
      <c r="O5" s="310" t="s">
        <v>439</v>
      </c>
      <c r="P5" s="310" t="s">
        <v>447</v>
      </c>
      <c r="Q5" s="310" t="s">
        <v>441</v>
      </c>
    </row>
    <row r="6" spans="1:17">
      <c r="A6">
        <v>5</v>
      </c>
      <c r="B6" s="310" t="s">
        <v>448</v>
      </c>
      <c r="C6" s="310" t="s">
        <v>430</v>
      </c>
      <c r="D6" s="310" t="s">
        <v>416</v>
      </c>
      <c r="E6" s="310" t="s">
        <v>449</v>
      </c>
      <c r="F6" s="310" t="s">
        <v>450</v>
      </c>
      <c r="G6" s="310" t="s">
        <v>451</v>
      </c>
      <c r="H6" s="310" t="s">
        <v>452</v>
      </c>
      <c r="I6" s="310" t="s">
        <v>453</v>
      </c>
      <c r="J6" s="310"/>
      <c r="K6" s="310" t="s">
        <v>454</v>
      </c>
      <c r="L6" s="310" t="s">
        <v>455</v>
      </c>
      <c r="M6" s="310" t="s">
        <v>456</v>
      </c>
      <c r="N6" s="310" t="s">
        <v>425</v>
      </c>
      <c r="O6" s="310" t="s">
        <v>457</v>
      </c>
      <c r="P6" s="310" t="s">
        <v>458</v>
      </c>
      <c r="Q6" s="310" t="s">
        <v>459</v>
      </c>
    </row>
    <row r="7" spans="1:17">
      <c r="A7">
        <v>6</v>
      </c>
      <c r="B7" s="310" t="s">
        <v>460</v>
      </c>
      <c r="C7" s="310" t="s">
        <v>430</v>
      </c>
      <c r="D7" s="310" t="s">
        <v>431</v>
      </c>
      <c r="E7" s="310" t="s">
        <v>461</v>
      </c>
      <c r="F7" s="310" t="s">
        <v>462</v>
      </c>
      <c r="G7" s="310" t="s">
        <v>463</v>
      </c>
      <c r="H7" s="310" t="s">
        <v>435</v>
      </c>
      <c r="I7" s="310" t="s">
        <v>464</v>
      </c>
      <c r="J7" s="310"/>
      <c r="K7" s="310" t="s">
        <v>443</v>
      </c>
      <c r="L7" s="310" t="s">
        <v>465</v>
      </c>
      <c r="M7" s="310" t="s">
        <v>466</v>
      </c>
      <c r="N7" s="310" t="s">
        <v>425</v>
      </c>
      <c r="O7" s="310" t="s">
        <v>467</v>
      </c>
      <c r="P7" s="310" t="s">
        <v>458</v>
      </c>
      <c r="Q7" s="310" t="s">
        <v>468</v>
      </c>
    </row>
    <row r="8" spans="1:17">
      <c r="A8">
        <v>7</v>
      </c>
      <c r="B8" s="310" t="s">
        <v>469</v>
      </c>
      <c r="C8" s="310" t="s">
        <v>470</v>
      </c>
      <c r="D8" s="310" t="s">
        <v>471</v>
      </c>
      <c r="E8" s="310" t="s">
        <v>472</v>
      </c>
      <c r="F8" s="310" t="s">
        <v>473</v>
      </c>
      <c r="G8" s="310" t="s">
        <v>474</v>
      </c>
      <c r="H8" s="310" t="s">
        <v>475</v>
      </c>
      <c r="I8" s="310" t="s">
        <v>453</v>
      </c>
      <c r="J8" s="310"/>
      <c r="K8" s="310" t="s">
        <v>443</v>
      </c>
      <c r="L8" s="310" t="s">
        <v>476</v>
      </c>
      <c r="M8" s="310" t="s">
        <v>477</v>
      </c>
      <c r="N8" s="310" t="s">
        <v>425</v>
      </c>
      <c r="O8" s="310" t="s">
        <v>478</v>
      </c>
      <c r="P8" s="310" t="s">
        <v>479</v>
      </c>
      <c r="Q8" s="310" t="s">
        <v>480</v>
      </c>
    </row>
    <row r="9" spans="1:17">
      <c r="A9">
        <v>8</v>
      </c>
      <c r="B9" s="310" t="s">
        <v>481</v>
      </c>
      <c r="C9" s="310" t="s">
        <v>470</v>
      </c>
      <c r="D9" s="310" t="s">
        <v>482</v>
      </c>
      <c r="E9" s="310" t="s">
        <v>449</v>
      </c>
      <c r="F9" s="310" t="s">
        <v>483</v>
      </c>
      <c r="G9" s="310" t="s">
        <v>484</v>
      </c>
      <c r="H9" s="310" t="s">
        <v>485</v>
      </c>
      <c r="I9" s="310" t="s">
        <v>436</v>
      </c>
      <c r="J9" s="310"/>
      <c r="K9" s="310" t="s">
        <v>443</v>
      </c>
      <c r="L9" s="310" t="s">
        <v>486</v>
      </c>
      <c r="M9" s="310" t="s">
        <v>487</v>
      </c>
      <c r="N9" s="310" t="s">
        <v>425</v>
      </c>
      <c r="O9" s="310" t="s">
        <v>488</v>
      </c>
      <c r="P9" s="310" t="s">
        <v>479</v>
      </c>
      <c r="Q9" s="310" t="s">
        <v>489</v>
      </c>
    </row>
    <row r="10" spans="1:17">
      <c r="A10">
        <v>9</v>
      </c>
      <c r="B10" s="310" t="s">
        <v>490</v>
      </c>
      <c r="C10" s="310" t="s">
        <v>470</v>
      </c>
      <c r="D10" s="310" t="s">
        <v>471</v>
      </c>
      <c r="E10" s="310" t="s">
        <v>491</v>
      </c>
      <c r="F10" s="310" t="s">
        <v>492</v>
      </c>
      <c r="G10" s="310" t="s">
        <v>493</v>
      </c>
      <c r="H10" s="310" t="s">
        <v>494</v>
      </c>
      <c r="I10" s="310" t="s">
        <v>464</v>
      </c>
      <c r="J10" s="310"/>
      <c r="K10" s="310" t="s">
        <v>443</v>
      </c>
      <c r="L10" s="310" t="s">
        <v>495</v>
      </c>
      <c r="M10" s="310" t="s">
        <v>496</v>
      </c>
      <c r="N10" s="310" t="s">
        <v>425</v>
      </c>
      <c r="O10" s="310" t="s">
        <v>497</v>
      </c>
      <c r="P10" s="310" t="s">
        <v>498</v>
      </c>
      <c r="Q10" s="310" t="s">
        <v>499</v>
      </c>
    </row>
    <row r="11" spans="1:17">
      <c r="A11">
        <v>10</v>
      </c>
      <c r="B11" s="310" t="s">
        <v>490</v>
      </c>
      <c r="C11" s="310" t="s">
        <v>470</v>
      </c>
      <c r="D11" s="310" t="s">
        <v>431</v>
      </c>
      <c r="E11" s="310" t="s">
        <v>500</v>
      </c>
      <c r="F11" s="310" t="s">
        <v>492</v>
      </c>
      <c r="G11" s="310" t="s">
        <v>493</v>
      </c>
      <c r="H11" s="310" t="s">
        <v>494</v>
      </c>
      <c r="I11" s="310" t="s">
        <v>464</v>
      </c>
      <c r="J11" s="310"/>
      <c r="K11" s="310" t="s">
        <v>443</v>
      </c>
      <c r="L11" s="310" t="s">
        <v>495</v>
      </c>
      <c r="M11" s="310" t="s">
        <v>496</v>
      </c>
      <c r="N11" s="310" t="s">
        <v>425</v>
      </c>
      <c r="O11" s="310" t="s">
        <v>497</v>
      </c>
      <c r="P11" s="310" t="s">
        <v>498</v>
      </c>
      <c r="Q11" s="310" t="s">
        <v>499</v>
      </c>
    </row>
    <row r="12" spans="1:17">
      <c r="A12">
        <v>11</v>
      </c>
      <c r="B12" s="310" t="s">
        <v>501</v>
      </c>
      <c r="C12" s="310" t="s">
        <v>502</v>
      </c>
      <c r="D12" s="310" t="s">
        <v>503</v>
      </c>
      <c r="E12" s="310" t="s">
        <v>504</v>
      </c>
      <c r="F12" s="310" t="s">
        <v>505</v>
      </c>
      <c r="G12" s="310" t="s">
        <v>506</v>
      </c>
      <c r="H12" s="310" t="s">
        <v>507</v>
      </c>
      <c r="I12" s="310" t="s">
        <v>421</v>
      </c>
      <c r="J12" s="310"/>
      <c r="K12" s="310" t="s">
        <v>446</v>
      </c>
      <c r="L12" s="310" t="s">
        <v>508</v>
      </c>
      <c r="M12" s="310" t="s">
        <v>509</v>
      </c>
      <c r="N12" s="310" t="s">
        <v>425</v>
      </c>
      <c r="O12" s="310" t="s">
        <v>510</v>
      </c>
      <c r="P12" s="310" t="s">
        <v>511</v>
      </c>
      <c r="Q12" s="310" t="s">
        <v>512</v>
      </c>
    </row>
    <row r="13" spans="1:17">
      <c r="A13">
        <v>12</v>
      </c>
      <c r="B13" s="310" t="s">
        <v>513</v>
      </c>
      <c r="C13" s="310" t="s">
        <v>470</v>
      </c>
      <c r="D13" s="310" t="s">
        <v>471</v>
      </c>
      <c r="E13" s="310" t="s">
        <v>514</v>
      </c>
      <c r="F13" s="310" t="s">
        <v>515</v>
      </c>
      <c r="G13" s="310" t="s">
        <v>516</v>
      </c>
      <c r="H13" s="310" t="s">
        <v>420</v>
      </c>
      <c r="I13" s="310" t="s">
        <v>453</v>
      </c>
      <c r="J13" s="310"/>
      <c r="K13" s="310" t="s">
        <v>443</v>
      </c>
      <c r="L13" s="310" t="s">
        <v>517</v>
      </c>
      <c r="M13" s="310" t="s">
        <v>518</v>
      </c>
      <c r="N13" s="310" t="s">
        <v>425</v>
      </c>
      <c r="O13" s="310" t="s">
        <v>478</v>
      </c>
      <c r="P13" s="310" t="s">
        <v>479</v>
      </c>
      <c r="Q13" s="310" t="s">
        <v>519</v>
      </c>
    </row>
    <row r="14" spans="1:17">
      <c r="A14">
        <v>13</v>
      </c>
      <c r="B14" s="310" t="s">
        <v>520</v>
      </c>
      <c r="C14" s="310" t="s">
        <v>415</v>
      </c>
      <c r="D14" s="310" t="s">
        <v>416</v>
      </c>
      <c r="E14" s="310" t="s">
        <v>521</v>
      </c>
      <c r="F14" s="310" t="s">
        <v>522</v>
      </c>
      <c r="G14" s="310" t="s">
        <v>523</v>
      </c>
      <c r="H14" s="310" t="s">
        <v>524</v>
      </c>
      <c r="I14" s="310" t="s">
        <v>464</v>
      </c>
      <c r="J14" s="310"/>
      <c r="K14" s="310" t="s">
        <v>443</v>
      </c>
      <c r="L14" s="310" t="s">
        <v>525</v>
      </c>
      <c r="M14" s="310" t="s">
        <v>526</v>
      </c>
      <c r="N14" s="310" t="s">
        <v>425</v>
      </c>
      <c r="O14" s="310" t="s">
        <v>527</v>
      </c>
      <c r="P14" s="310" t="s">
        <v>528</v>
      </c>
      <c r="Q14" s="310" t="s">
        <v>529</v>
      </c>
    </row>
    <row r="15" spans="1:17">
      <c r="A15">
        <v>14</v>
      </c>
      <c r="B15" s="310" t="s">
        <v>530</v>
      </c>
      <c r="C15" s="310" t="s">
        <v>415</v>
      </c>
      <c r="D15" s="310" t="s">
        <v>531</v>
      </c>
      <c r="E15" s="310" t="s">
        <v>449</v>
      </c>
      <c r="F15" s="310" t="s">
        <v>532</v>
      </c>
      <c r="G15" s="310" t="s">
        <v>533</v>
      </c>
      <c r="H15" s="310" t="s">
        <v>524</v>
      </c>
      <c r="I15" s="310" t="s">
        <v>421</v>
      </c>
      <c r="J15" s="310"/>
      <c r="K15" s="310" t="s">
        <v>443</v>
      </c>
      <c r="L15" s="310" t="s">
        <v>534</v>
      </c>
      <c r="M15" s="310" t="s">
        <v>535</v>
      </c>
      <c r="N15" s="310" t="s">
        <v>425</v>
      </c>
      <c r="O15" s="310" t="s">
        <v>536</v>
      </c>
      <c r="P15" s="310" t="s">
        <v>427</v>
      </c>
      <c r="Q15" s="310" t="s">
        <v>537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IP_2019">
    <tabColor indexed="47"/>
  </sheetPr>
  <dimension ref="A1"/>
  <sheetViews>
    <sheetView workbookViewId="0">
      <selection activeCell="Q34" sqref="Q34"/>
    </sheetView>
  </sheetViews>
  <sheetFormatPr defaultRowHeight="11.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TER">
    <tabColor indexed="47"/>
  </sheetPr>
  <dimension ref="A1"/>
  <sheetViews>
    <sheetView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CNCSN">
    <tabColor indexed="47"/>
  </sheetPr>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0">
    <tabColor theme="3" tint="0.79998168889431442"/>
  </sheetPr>
  <dimension ref="A1:N70"/>
  <sheetViews>
    <sheetView showGridLines="0" topLeftCell="D3" zoomScaleNormal="100" workbookViewId="0">
      <pane ySplit="3" topLeftCell="A21" activePane="bottomLeft" state="frozen"/>
      <selection activeCell="D5" sqref="D5:K5"/>
      <selection pane="bottomLeft" activeCell="O67" sqref="O67"/>
    </sheetView>
  </sheetViews>
  <sheetFormatPr defaultColWidth="9.140625" defaultRowHeight="11.25"/>
  <cols>
    <col min="1" max="1" width="10.7109375" style="22" hidden="1" customWidth="1"/>
    <col min="2" max="2" width="10.7109375" style="19" hidden="1" customWidth="1"/>
    <col min="3" max="3" width="3.7109375" style="23" hidden="1" customWidth="1"/>
    <col min="4" max="4" width="3.7109375" style="27" customWidth="1"/>
    <col min="5" max="5" width="43.140625" style="27" customWidth="1"/>
    <col min="6" max="6" width="50.7109375" style="27" customWidth="1"/>
    <col min="7" max="7" width="8.28515625" style="26" customWidth="1"/>
    <col min="8" max="13" width="9.140625" style="27" hidden="1" customWidth="1"/>
    <col min="14" max="16384" width="9.140625" style="27"/>
  </cols>
  <sheetData>
    <row r="1" spans="1:14" s="20" customFormat="1" ht="13.5" hidden="1" customHeight="1">
      <c r="A1" s="18"/>
      <c r="B1" s="19"/>
      <c r="G1" s="21"/>
    </row>
    <row r="2" spans="1:14" s="20" customFormat="1" ht="12" hidden="1" customHeight="1">
      <c r="A2" s="18"/>
      <c r="B2" s="19"/>
      <c r="G2" s="21"/>
    </row>
    <row r="3" spans="1:14" hidden="1"/>
    <row r="4" spans="1:14" hidden="1">
      <c r="D4" s="24"/>
      <c r="E4" s="25"/>
      <c r="F4" s="123" t="str">
        <f>version</f>
        <v>Версия 1.1</v>
      </c>
    </row>
    <row r="5" spans="1:14" ht="28.5" customHeight="1">
      <c r="D5" s="28"/>
      <c r="E5" s="360" t="str">
        <f>"Контроль за использованием инвестиционных ресурсов, включаемых в регулируемые государством цены (тарифы) в сфере теплоснабжения за " &amp; god &amp; " год"</f>
        <v>Контроль за использованием инвестиционных ресурсов, включаемых в регулируемые государством цены (тарифы) в сфере теплоснабжения за 2020 год</v>
      </c>
      <c r="F5" s="360"/>
      <c r="G5" s="29"/>
    </row>
    <row r="6" spans="1:14">
      <c r="D6" s="24"/>
      <c r="E6" s="124"/>
      <c r="F6" s="125"/>
      <c r="G6" s="29"/>
      <c r="H6" s="257"/>
      <c r="I6" s="257"/>
      <c r="J6" s="257"/>
    </row>
    <row r="7" spans="1:14" ht="19.5">
      <c r="D7" s="28"/>
      <c r="E7" s="30" t="s">
        <v>122</v>
      </c>
      <c r="F7" s="127" t="s">
        <v>112</v>
      </c>
      <c r="G7" s="126"/>
      <c r="H7" s="257"/>
      <c r="I7" s="257"/>
      <c r="J7" s="257"/>
      <c r="N7" s="283"/>
    </row>
    <row r="8" spans="1:14" ht="3.75" customHeight="1">
      <c r="A8" s="31"/>
      <c r="D8" s="32"/>
      <c r="E8" s="30"/>
      <c r="F8" s="120"/>
      <c r="G8" s="33"/>
      <c r="H8" s="257"/>
      <c r="I8" s="257"/>
      <c r="J8" s="257"/>
      <c r="N8" s="283"/>
    </row>
    <row r="9" spans="1:14" ht="19.5">
      <c r="D9" s="28"/>
      <c r="E9" s="30" t="s">
        <v>123</v>
      </c>
      <c r="F9" s="129">
        <v>2020</v>
      </c>
      <c r="G9" s="128"/>
      <c r="H9" s="257"/>
      <c r="I9" s="257"/>
      <c r="J9" s="257"/>
      <c r="N9" s="283"/>
    </row>
    <row r="10" spans="1:14" ht="3.75" customHeight="1">
      <c r="A10" s="31"/>
      <c r="D10" s="32"/>
      <c r="E10" s="30"/>
      <c r="F10" s="120"/>
      <c r="G10" s="33"/>
      <c r="H10" s="257"/>
      <c r="I10" s="257"/>
      <c r="J10" s="257"/>
      <c r="N10" s="283"/>
    </row>
    <row r="11" spans="1:14" ht="19.5">
      <c r="D11" s="28"/>
      <c r="E11" s="139" t="s">
        <v>304</v>
      </c>
      <c r="F11" s="133" t="s">
        <v>306</v>
      </c>
      <c r="G11" s="128"/>
      <c r="H11" s="257"/>
      <c r="I11" s="257"/>
      <c r="J11" s="257"/>
      <c r="N11" s="283"/>
    </row>
    <row r="12" spans="1:14" ht="3.75" customHeight="1">
      <c r="A12" s="31"/>
      <c r="D12" s="32"/>
      <c r="E12" s="30"/>
      <c r="F12" s="120"/>
      <c r="G12" s="33"/>
      <c r="H12" s="257"/>
      <c r="I12" s="257"/>
      <c r="J12" s="257"/>
      <c r="N12" s="283"/>
    </row>
    <row r="13" spans="1:14" ht="45">
      <c r="D13" s="28"/>
      <c r="E13" s="139" t="s">
        <v>280</v>
      </c>
      <c r="F13" s="319" t="s">
        <v>460</v>
      </c>
      <c r="G13" s="128"/>
      <c r="H13" s="257">
        <v>1</v>
      </c>
      <c r="I13" s="257">
        <v>31211886</v>
      </c>
      <c r="J13" s="260">
        <v>35142.81</v>
      </c>
      <c r="N13" s="283"/>
    </row>
    <row r="14" spans="1:14" ht="3.75" customHeight="1">
      <c r="C14" s="35"/>
      <c r="D14" s="32"/>
      <c r="E14" s="37"/>
      <c r="F14" s="120"/>
      <c r="G14" s="34"/>
      <c r="H14" s="257"/>
      <c r="I14" s="257"/>
      <c r="J14" s="257"/>
      <c r="N14" s="283"/>
    </row>
    <row r="15" spans="1:14" ht="3.75" customHeight="1">
      <c r="C15" s="35"/>
      <c r="D15" s="32"/>
      <c r="E15" s="121"/>
      <c r="F15" s="122"/>
      <c r="G15" s="34"/>
      <c r="H15" s="257"/>
      <c r="I15" s="257"/>
      <c r="J15" s="257"/>
      <c r="N15" s="283"/>
    </row>
    <row r="16" spans="1:14" ht="19.5">
      <c r="C16" s="35"/>
      <c r="D16" s="36"/>
      <c r="E16" s="37" t="s">
        <v>151</v>
      </c>
      <c r="F16" s="269" t="s">
        <v>462</v>
      </c>
      <c r="G16" s="131"/>
      <c r="H16" s="258"/>
      <c r="I16" s="257"/>
      <c r="J16" s="259"/>
      <c r="N16" s="283"/>
    </row>
    <row r="17" spans="1:14" ht="19.5">
      <c r="C17" s="35"/>
      <c r="D17" s="36"/>
      <c r="E17" s="37" t="s">
        <v>124</v>
      </c>
      <c r="F17" s="132" t="s">
        <v>463</v>
      </c>
      <c r="G17" s="131"/>
      <c r="H17" s="258"/>
      <c r="I17" s="257"/>
      <c r="J17" s="259"/>
      <c r="N17" s="283"/>
    </row>
    <row r="18" spans="1:14" ht="19.5">
      <c r="C18" s="35"/>
      <c r="D18" s="36"/>
      <c r="E18" s="37" t="s">
        <v>125</v>
      </c>
      <c r="F18" s="132" t="s">
        <v>435</v>
      </c>
      <c r="G18" s="131"/>
      <c r="H18" s="258"/>
      <c r="I18" s="257"/>
      <c r="J18" s="259"/>
      <c r="N18" s="283"/>
    </row>
    <row r="19" spans="1:14" ht="22.5">
      <c r="D19" s="28"/>
      <c r="E19" s="139" t="s">
        <v>338</v>
      </c>
      <c r="F19" s="153"/>
      <c r="G19" s="128"/>
      <c r="H19" s="257"/>
      <c r="I19" s="257"/>
      <c r="J19" s="257"/>
      <c r="N19" s="283"/>
    </row>
    <row r="20" spans="1:14" ht="3.75" customHeight="1">
      <c r="A20" s="31"/>
      <c r="D20" s="32"/>
      <c r="E20" s="30"/>
      <c r="F20" s="120"/>
      <c r="G20" s="33"/>
      <c r="H20" s="257"/>
      <c r="I20" s="257"/>
      <c r="J20" s="257"/>
      <c r="N20" s="283"/>
    </row>
    <row r="21" spans="1:14" ht="19.5">
      <c r="D21" s="28"/>
      <c r="E21" s="30" t="s">
        <v>155</v>
      </c>
      <c r="F21" s="153" t="s">
        <v>464</v>
      </c>
      <c r="G21" s="128"/>
      <c r="H21" s="257"/>
      <c r="I21" s="257"/>
      <c r="J21" s="257"/>
      <c r="N21" s="283"/>
    </row>
    <row r="22" spans="1:14" ht="19.5">
      <c r="D22" s="28"/>
      <c r="E22" s="30" t="s">
        <v>156</v>
      </c>
      <c r="F22" s="153" t="s">
        <v>443</v>
      </c>
      <c r="G22" s="128"/>
      <c r="H22" s="257"/>
      <c r="I22" s="257"/>
      <c r="J22" s="257"/>
      <c r="N22" s="283"/>
    </row>
    <row r="23" spans="1:14" ht="3.75" customHeight="1">
      <c r="C23" s="35"/>
      <c r="D23" s="32"/>
      <c r="E23" s="37"/>
      <c r="F23" s="120"/>
      <c r="G23" s="34"/>
      <c r="H23" s="257"/>
      <c r="I23" s="257"/>
      <c r="J23" s="257"/>
      <c r="N23" s="283"/>
    </row>
    <row r="24" spans="1:14" ht="19.5">
      <c r="D24" s="28"/>
      <c r="E24" s="139" t="s">
        <v>279</v>
      </c>
      <c r="F24" s="130" t="s">
        <v>18</v>
      </c>
      <c r="G24" s="128"/>
      <c r="H24" s="257"/>
      <c r="I24" s="257"/>
      <c r="J24" s="257"/>
      <c r="N24" s="283"/>
    </row>
    <row r="25" spans="1:14" ht="3.75" customHeight="1">
      <c r="C25" s="35"/>
      <c r="D25" s="32"/>
      <c r="E25" s="37"/>
      <c r="F25" s="120"/>
      <c r="G25" s="34"/>
      <c r="H25" s="257"/>
      <c r="I25" s="257"/>
      <c r="J25" s="257"/>
      <c r="N25" s="283"/>
    </row>
    <row r="26" spans="1:14" ht="3.75" hidden="1" customHeight="1">
      <c r="C26" s="35"/>
      <c r="D26" s="32"/>
      <c r="E26" s="37"/>
      <c r="F26" s="120"/>
      <c r="G26" s="34"/>
      <c r="H26" s="257"/>
      <c r="I26" s="257"/>
      <c r="J26" s="257"/>
      <c r="N26" s="283"/>
    </row>
    <row r="27" spans="1:14" ht="3.75" hidden="1" customHeight="1">
      <c r="C27" s="35"/>
      <c r="D27" s="32"/>
      <c r="E27" s="37"/>
      <c r="F27" s="120"/>
      <c r="G27" s="34"/>
      <c r="H27" s="257"/>
      <c r="I27" s="257"/>
      <c r="J27" s="257"/>
      <c r="N27" s="283"/>
    </row>
    <row r="28" spans="1:14" ht="3.75" hidden="1" customHeight="1">
      <c r="C28" s="35"/>
      <c r="D28" s="32"/>
      <c r="E28" s="37"/>
      <c r="F28" s="120"/>
      <c r="G28" s="34"/>
      <c r="H28" s="257"/>
      <c r="I28" s="257"/>
      <c r="J28" s="257"/>
      <c r="N28" s="283"/>
    </row>
    <row r="29" spans="1:14" ht="3.75" hidden="1" customHeight="1">
      <c r="C29" s="35"/>
      <c r="D29" s="32"/>
      <c r="E29" s="37"/>
      <c r="F29" s="120"/>
      <c r="G29" s="34"/>
      <c r="H29" s="257"/>
      <c r="I29" s="257"/>
      <c r="J29" s="257"/>
      <c r="N29" s="283"/>
    </row>
    <row r="30" spans="1:14" ht="3.75" hidden="1" customHeight="1">
      <c r="C30" s="35"/>
      <c r="D30" s="32"/>
      <c r="E30" s="37"/>
      <c r="F30" s="120"/>
      <c r="G30" s="34"/>
      <c r="H30" s="257"/>
      <c r="I30" s="257"/>
      <c r="J30" s="257"/>
      <c r="N30" s="283"/>
    </row>
    <row r="31" spans="1:14" ht="19.5" customHeight="1">
      <c r="D31" s="28"/>
      <c r="E31" s="242" t="s">
        <v>332</v>
      </c>
      <c r="F31" s="236" t="s">
        <v>296</v>
      </c>
      <c r="G31" s="128"/>
      <c r="H31" s="257"/>
      <c r="I31" s="257"/>
      <c r="J31" s="257"/>
      <c r="N31" s="283"/>
    </row>
    <row r="32" spans="1:14" ht="3.75" customHeight="1">
      <c r="D32" s="28"/>
      <c r="E32" s="25"/>
      <c r="F32" s="243"/>
      <c r="G32" s="24"/>
      <c r="H32" s="257"/>
      <c r="I32" s="257"/>
      <c r="J32" s="257"/>
      <c r="N32" s="283"/>
    </row>
    <row r="33" spans="3:14" ht="19.5" customHeight="1">
      <c r="D33" s="28"/>
      <c r="E33" s="139" t="s">
        <v>328</v>
      </c>
      <c r="F33" s="156" t="s">
        <v>270</v>
      </c>
      <c r="G33" s="24"/>
      <c r="H33" s="257"/>
      <c r="I33" s="257"/>
      <c r="J33" s="257"/>
      <c r="N33" s="283"/>
    </row>
    <row r="34" spans="3:14" ht="3.75" customHeight="1">
      <c r="D34" s="28"/>
      <c r="E34" s="25"/>
      <c r="F34" s="243"/>
      <c r="G34" s="24"/>
      <c r="H34" s="257"/>
      <c r="I34" s="257"/>
      <c r="J34" s="257"/>
      <c r="N34" s="283"/>
    </row>
    <row r="35" spans="3:14" ht="19.5" customHeight="1">
      <c r="D35" s="28"/>
      <c r="E35" s="139" t="s">
        <v>351</v>
      </c>
      <c r="F35" s="311" t="s">
        <v>354</v>
      </c>
      <c r="G35" s="24"/>
      <c r="H35" s="257"/>
      <c r="I35" s="257"/>
      <c r="J35" s="257"/>
      <c r="N35" s="283"/>
    </row>
    <row r="36" spans="3:14" ht="3.75" customHeight="1">
      <c r="D36" s="28"/>
      <c r="E36" s="25"/>
      <c r="F36" s="243"/>
      <c r="G36" s="24"/>
      <c r="H36" s="257"/>
      <c r="I36" s="257"/>
      <c r="J36" s="257"/>
      <c r="N36" s="283"/>
    </row>
    <row r="37" spans="3:14" ht="19.5" customHeight="1">
      <c r="D37" s="28"/>
      <c r="E37" s="139" t="s">
        <v>368</v>
      </c>
      <c r="F37" s="236" t="s">
        <v>19</v>
      </c>
      <c r="G37" s="24"/>
      <c r="H37" s="257"/>
      <c r="I37" s="257"/>
      <c r="J37" s="257"/>
      <c r="N37" s="283"/>
    </row>
    <row r="38" spans="3:14" ht="3.75" customHeight="1">
      <c r="C38" s="35"/>
      <c r="D38" s="32"/>
      <c r="E38" s="37"/>
      <c r="F38" s="120"/>
      <c r="G38" s="34"/>
      <c r="H38" s="257"/>
      <c r="I38" s="257"/>
      <c r="J38" s="257"/>
      <c r="N38" s="283"/>
    </row>
    <row r="39" spans="3:14" ht="3.75" customHeight="1">
      <c r="C39" s="35"/>
      <c r="D39" s="32"/>
      <c r="E39" s="121"/>
      <c r="F39" s="122"/>
      <c r="G39" s="34"/>
      <c r="H39" s="257"/>
      <c r="I39" s="257"/>
      <c r="J39" s="257"/>
      <c r="N39" s="283"/>
    </row>
    <row r="40" spans="3:14" ht="19.5">
      <c r="D40" s="28"/>
      <c r="E40" s="139" t="s">
        <v>319</v>
      </c>
      <c r="F40" s="224" t="s">
        <v>430</v>
      </c>
      <c r="G40" s="128"/>
      <c r="H40" s="257"/>
      <c r="I40" s="257"/>
      <c r="J40" s="257"/>
      <c r="N40" s="283"/>
    </row>
    <row r="41" spans="3:14" ht="19.5" customHeight="1">
      <c r="D41" s="28"/>
      <c r="E41" s="139" t="s">
        <v>320</v>
      </c>
      <c r="F41" s="225" t="s">
        <v>431</v>
      </c>
      <c r="G41" s="128"/>
      <c r="H41" s="257"/>
      <c r="I41" s="257"/>
      <c r="J41" s="257"/>
      <c r="N41" s="283"/>
    </row>
    <row r="42" spans="3:14" ht="3.75" customHeight="1">
      <c r="D42" s="28"/>
      <c r="E42" s="30"/>
      <c r="F42" s="135"/>
      <c r="G42" s="24"/>
      <c r="H42" s="257"/>
      <c r="I42" s="257"/>
      <c r="J42" s="257"/>
      <c r="N42" s="283"/>
    </row>
    <row r="43" spans="3:14" ht="19.5" customHeight="1">
      <c r="D43" s="28"/>
      <c r="E43" s="30" t="s">
        <v>166</v>
      </c>
      <c r="F43" s="136" t="str">
        <f>CalcPeriod(date_start,date_end)</f>
        <v>3 года</v>
      </c>
      <c r="G43" s="128"/>
      <c r="H43" s="257"/>
      <c r="I43" s="257"/>
      <c r="J43" s="257"/>
      <c r="N43" s="283"/>
    </row>
    <row r="44" spans="3:14" ht="3.75" customHeight="1">
      <c r="C44" s="35"/>
      <c r="D44" s="32"/>
      <c r="E44" s="37"/>
      <c r="F44" s="120"/>
      <c r="G44" s="34"/>
      <c r="H44" s="257"/>
      <c r="I44" s="257"/>
      <c r="J44" s="257"/>
      <c r="N44" s="283"/>
    </row>
    <row r="45" spans="3:14" ht="3.75" customHeight="1">
      <c r="C45" s="35"/>
      <c r="D45" s="32"/>
      <c r="E45" s="121"/>
      <c r="F45" s="122"/>
      <c r="G45" s="34"/>
      <c r="H45" s="257"/>
      <c r="I45" s="257"/>
      <c r="J45" s="257"/>
      <c r="N45" s="283"/>
    </row>
    <row r="46" spans="3:14" ht="22.5">
      <c r="D46" s="28"/>
      <c r="E46" s="139" t="s">
        <v>333</v>
      </c>
      <c r="F46" s="236" t="s">
        <v>466</v>
      </c>
      <c r="G46" s="24"/>
      <c r="H46" s="257"/>
      <c r="I46" s="257"/>
      <c r="J46" s="257"/>
      <c r="N46" s="283"/>
    </row>
    <row r="47" spans="3:14" ht="19.5" customHeight="1">
      <c r="D47" s="28"/>
      <c r="E47" s="139" t="s">
        <v>334</v>
      </c>
      <c r="F47" s="236" t="s">
        <v>425</v>
      </c>
      <c r="G47" s="24"/>
      <c r="H47" s="257"/>
      <c r="I47" s="257"/>
      <c r="J47" s="257"/>
      <c r="N47" s="283"/>
    </row>
    <row r="48" spans="3:14" ht="19.5" customHeight="1">
      <c r="D48" s="28"/>
      <c r="E48" s="139" t="s">
        <v>335</v>
      </c>
      <c r="F48" s="236" t="s">
        <v>467</v>
      </c>
      <c r="G48" s="24"/>
      <c r="H48" s="257"/>
      <c r="I48" s="257"/>
      <c r="J48" s="257"/>
      <c r="N48" s="283"/>
    </row>
    <row r="49" spans="1:14" ht="19.5" customHeight="1">
      <c r="D49" s="28"/>
      <c r="E49" s="139" t="s">
        <v>336</v>
      </c>
      <c r="F49" s="262" t="s">
        <v>458</v>
      </c>
      <c r="G49" s="24"/>
      <c r="H49" s="257"/>
      <c r="I49" s="257"/>
      <c r="J49" s="257"/>
      <c r="N49" s="283"/>
    </row>
    <row r="50" spans="1:14" ht="22.5">
      <c r="D50" s="28"/>
      <c r="E50" s="139" t="s">
        <v>387</v>
      </c>
      <c r="F50" s="268" t="s">
        <v>468</v>
      </c>
      <c r="G50" s="24"/>
      <c r="H50" s="257"/>
      <c r="I50" s="257"/>
      <c r="J50" s="257"/>
      <c r="N50" s="283"/>
    </row>
    <row r="51" spans="1:14" ht="22.5">
      <c r="D51" s="28"/>
      <c r="E51" s="139" t="str">
        <f>"Ссылка на обосновывающие материалы (на дату представления плана на " &amp; god &amp; ")"</f>
        <v>Ссылка на обосновывающие материалы (на дату представления плана на 2020)</v>
      </c>
      <c r="F51" s="316" t="s">
        <v>468</v>
      </c>
      <c r="G51" s="24"/>
      <c r="H51" s="257"/>
      <c r="I51" s="257"/>
      <c r="J51" s="257"/>
      <c r="N51" s="283"/>
    </row>
    <row r="52" spans="1:14" ht="3.75" customHeight="1">
      <c r="C52" s="35"/>
      <c r="D52" s="32"/>
      <c r="E52" s="37"/>
      <c r="F52" s="120"/>
      <c r="G52" s="34"/>
      <c r="H52" s="257"/>
      <c r="I52" s="257"/>
      <c r="J52" s="257"/>
      <c r="N52" s="283"/>
    </row>
    <row r="53" spans="1:14" ht="3.75" hidden="1" customHeight="1">
      <c r="C53" s="35"/>
      <c r="D53" s="32"/>
      <c r="E53" s="121"/>
      <c r="F53" s="122"/>
      <c r="G53" s="34"/>
      <c r="H53" s="257"/>
      <c r="I53" s="257"/>
      <c r="J53" s="257"/>
      <c r="N53" s="283"/>
    </row>
    <row r="54" spans="1:14" ht="19.5" hidden="1">
      <c r="D54" s="28"/>
      <c r="E54" s="139" t="s">
        <v>345</v>
      </c>
      <c r="F54" s="271"/>
      <c r="G54" s="24"/>
      <c r="H54" s="257"/>
      <c r="I54" s="257"/>
      <c r="J54" s="257"/>
      <c r="N54" s="283"/>
    </row>
    <row r="55" spans="1:14" ht="25.5" hidden="1" customHeight="1">
      <c r="D55" s="28"/>
      <c r="E55" s="139" t="s">
        <v>356</v>
      </c>
      <c r="F55" s="281" t="s">
        <v>154</v>
      </c>
      <c r="G55" s="24"/>
      <c r="H55" s="257"/>
      <c r="I55" s="257"/>
      <c r="J55" s="257"/>
      <c r="N55" s="283"/>
    </row>
    <row r="56" spans="1:14" ht="3.75" hidden="1" customHeight="1">
      <c r="C56" s="35"/>
      <c r="D56" s="32"/>
      <c r="E56" s="37"/>
      <c r="F56" s="120"/>
      <c r="G56" s="34"/>
      <c r="H56" s="257"/>
      <c r="I56" s="257"/>
      <c r="J56" s="257"/>
      <c r="N56" s="283"/>
    </row>
    <row r="57" spans="1:14" ht="3.75" hidden="1" customHeight="1">
      <c r="C57" s="35"/>
      <c r="D57" s="32"/>
      <c r="E57" s="121"/>
      <c r="F57" s="122"/>
      <c r="G57" s="34"/>
      <c r="H57" s="257"/>
      <c r="I57" s="257"/>
      <c r="J57" s="257"/>
      <c r="N57" s="283"/>
    </row>
    <row r="58" spans="1:14" ht="19.5" hidden="1">
      <c r="D58" s="28"/>
      <c r="E58" s="139" t="s">
        <v>289</v>
      </c>
      <c r="F58" s="271"/>
      <c r="G58" s="24"/>
      <c r="H58" s="257"/>
      <c r="I58" s="257"/>
      <c r="J58" s="257"/>
      <c r="N58" s="283"/>
    </row>
    <row r="59" spans="1:14" ht="19.5" hidden="1">
      <c r="D59" s="28"/>
      <c r="E59" s="139" t="s">
        <v>343</v>
      </c>
      <c r="F59" s="272" t="s">
        <v>154</v>
      </c>
      <c r="G59" s="24"/>
      <c r="H59" s="257"/>
      <c r="I59" s="257"/>
      <c r="J59" s="257"/>
      <c r="N59" s="283"/>
    </row>
    <row r="60" spans="1:14" ht="25.5" hidden="1" customHeight="1">
      <c r="D60" s="28"/>
      <c r="E60" s="139" t="s">
        <v>294</v>
      </c>
      <c r="F60" s="281" t="s">
        <v>154</v>
      </c>
      <c r="G60" s="24"/>
      <c r="H60" s="257"/>
      <c r="I60" s="257"/>
      <c r="J60" s="257"/>
      <c r="N60" s="283"/>
    </row>
    <row r="61" spans="1:14" ht="3.75" hidden="1" customHeight="1">
      <c r="D61" s="28"/>
      <c r="E61" s="30"/>
      <c r="F61" s="134"/>
      <c r="G61" s="24"/>
      <c r="H61" s="257"/>
      <c r="I61" s="257"/>
      <c r="J61" s="257"/>
      <c r="N61" s="283"/>
    </row>
    <row r="62" spans="1:14" ht="12.75" customHeight="1">
      <c r="A62" s="39"/>
      <c r="D62" s="24"/>
      <c r="E62" s="121"/>
      <c r="F62" s="122" t="s">
        <v>160</v>
      </c>
      <c r="G62" s="33"/>
      <c r="H62" s="257"/>
      <c r="I62" s="257"/>
      <c r="J62" s="257"/>
      <c r="N62" s="283"/>
    </row>
    <row r="63" spans="1:14" ht="20.100000000000001" customHeight="1">
      <c r="A63" s="39"/>
      <c r="B63" s="40"/>
      <c r="D63" s="41"/>
      <c r="E63" s="38" t="s">
        <v>149</v>
      </c>
      <c r="F63" s="317" t="s">
        <v>1235</v>
      </c>
      <c r="G63" s="137"/>
      <c r="H63" s="257"/>
      <c r="I63" s="257"/>
      <c r="J63" s="257"/>
      <c r="N63" s="283"/>
    </row>
    <row r="64" spans="1:14" ht="20.100000000000001" customHeight="1">
      <c r="A64" s="39"/>
      <c r="B64" s="40"/>
      <c r="D64" s="41"/>
      <c r="E64" s="38" t="s">
        <v>150</v>
      </c>
      <c r="F64" s="317" t="s">
        <v>1235</v>
      </c>
      <c r="G64" s="137"/>
      <c r="H64" s="257"/>
      <c r="I64" s="257"/>
      <c r="J64" s="257"/>
      <c r="N64" s="283"/>
    </row>
    <row r="65" spans="1:14" ht="22.5">
      <c r="A65" s="39"/>
      <c r="D65" s="24"/>
      <c r="F65" s="138" t="s">
        <v>16</v>
      </c>
      <c r="G65" s="33"/>
      <c r="H65" s="257"/>
      <c r="I65" s="257"/>
      <c r="J65" s="257"/>
      <c r="N65" s="283"/>
    </row>
    <row r="66" spans="1:14" ht="20.100000000000001" customHeight="1">
      <c r="A66" s="39"/>
      <c r="B66" s="40"/>
      <c r="D66" s="41"/>
      <c r="E66" s="38" t="s">
        <v>29</v>
      </c>
      <c r="F66" s="317" t="s">
        <v>1236</v>
      </c>
      <c r="G66" s="137"/>
      <c r="H66" s="257"/>
      <c r="I66" s="257"/>
      <c r="J66" s="257"/>
      <c r="N66" s="283"/>
    </row>
    <row r="67" spans="1:14" ht="20.100000000000001" customHeight="1">
      <c r="A67" s="39"/>
      <c r="B67" s="40"/>
      <c r="D67" s="41"/>
      <c r="E67" s="38" t="s">
        <v>31</v>
      </c>
      <c r="F67" s="317" t="s">
        <v>1237</v>
      </c>
      <c r="G67" s="137"/>
      <c r="H67" s="257"/>
      <c r="I67" s="257"/>
      <c r="J67" s="257"/>
      <c r="N67" s="283"/>
    </row>
    <row r="68" spans="1:14" ht="20.100000000000001" customHeight="1">
      <c r="A68" s="39"/>
      <c r="B68" s="40"/>
      <c r="D68" s="41"/>
      <c r="E68" s="38" t="s">
        <v>30</v>
      </c>
      <c r="F68" s="317" t="s">
        <v>1238</v>
      </c>
      <c r="G68" s="137"/>
      <c r="H68" s="257"/>
      <c r="I68" s="257"/>
      <c r="J68" s="257"/>
      <c r="N68" s="283"/>
    </row>
    <row r="69" spans="1:14" ht="20.100000000000001" customHeight="1">
      <c r="A69" s="39"/>
      <c r="B69" s="40"/>
      <c r="D69" s="41"/>
      <c r="E69" s="38" t="s">
        <v>32</v>
      </c>
      <c r="F69" s="318" t="s">
        <v>1239</v>
      </c>
      <c r="G69" s="137"/>
      <c r="H69" s="257"/>
      <c r="I69" s="257"/>
      <c r="J69" s="257"/>
      <c r="N69" s="283"/>
    </row>
    <row r="70" spans="1:14" ht="3.75" customHeight="1">
      <c r="E70" s="25"/>
      <c r="F70" s="200"/>
    </row>
  </sheetData>
  <sheetProtection password="FA9C" sheet="1" objects="1" scenarios="1" formatColumns="0" formatRows="0" autoFilter="0"/>
  <dataConsolidate link="1"/>
  <mergeCells count="1">
    <mergeCell ref="E5:F5"/>
  </mergeCells>
  <phoneticPr fontId="0" type="noConversion"/>
  <dataValidations count="11">
    <dataValidation allowBlank="1" errorTitle="Ошибка" error="Выберите значение из списка" prompt="Выберите значение из списка" sqref="F21:F22 F19"/>
    <dataValidation type="textLength" operator="lessThanOrEqual" allowBlank="1" showInputMessage="1" showErrorMessage="1" errorTitle="Ошибка" error="Допускается ввод не более 900 символов!" sqref="F66:F69 F63:F64 F46:F48 F59">
      <formula1>900</formula1>
    </dataValidation>
    <dataValidation type="list" operator="lessThanOrEqual" allowBlank="1" showInputMessage="1" showErrorMessage="1" errorTitle="Ошибка" error="Необходимо выбрать значение из списка!" prompt="Необходимо выбрать значение из списка" sqref="F24 F37">
      <formula1>logical</formula1>
    </dataValidation>
    <dataValidation allowBlank="1" showInputMessage="1" showErrorMessage="1" errorTitle="Ошибка" prompt="Для выбора изменений ИП необходимо два раза нажать левую кнопку мыши!" sqref="F54"/>
    <dataValidation type="list" allowBlank="1" showInputMessage="1" errorTitle="Ошибка" error="Выберите значение из списка" prompt="Выберите значение из списка_x000a_(если период сбора отчета завершен, необходимо выбрать значение &quot;корректировка&quot;)" sqref="F11">
      <formula1>spr_type_report</formula1>
    </dataValidation>
    <dataValidation type="list" showInputMessage="1" showErrorMessage="1" errorTitle="Внимание" error="Выберите значение из списка" prompt="Выберите значение из списка" sqref="F33">
      <formula1>spr_pok_kach</formula1>
    </dataValidation>
    <dataValidation allowBlank="1" showInputMessage="1" showErrorMessage="1" promptTitle="Ввод" prompt="Для выбора ИП необходимо два раза нажать левую кнопку мыши!" sqref="F13"/>
    <dataValidation type="textLength" operator="lessThanOrEqual" allowBlank="1" showInputMessage="1" showErrorMessage="1" errorTitle="Ошибка" error="Допускается ввод не более 900 символов!" prompt="Для перехода по ссылке необходимо два раза нажать левую кнопку мыши!" sqref="F60 F55 F50:F51">
      <formula1>900</formula1>
    </dataValidation>
    <dataValidation type="list" operator="lessThanOrEqual" allowBlank="1" showInputMessage="1" showErrorMessage="1" errorTitle="Ошибка" error="Необходимо выбрать значение из списка!" prompt="Выберите значение из списка" sqref="F31">
      <formula1>spr_ip_type_list</formula1>
    </dataValidation>
    <dataValidation allowBlank="1" showInputMessage="1" showErrorMessage="1" errorTitle="Ошибка" prompt="Для выбора причин прекращения действия ИП необходимо два раза нажать левую кнопку мыши!" sqref="F58"/>
    <dataValidation allowBlank="1" sqref="F35"/>
  </dataValidations>
  <pageMargins left="0.75" right="0.75" top="1" bottom="1" header="0.5" footer="0.5"/>
  <pageSetup paperSize="8"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BJECT">
    <tabColor indexed="47"/>
  </sheetPr>
  <dimension ref="A1:W9"/>
  <sheetViews>
    <sheetView workbookViewId="0"/>
  </sheetViews>
  <sheetFormatPr defaultRowHeight="11.25"/>
  <sheetData>
    <row r="1" spans="1:23">
      <c r="B1" s="310" t="s">
        <v>1241</v>
      </c>
      <c r="C1" s="310" t="s">
        <v>1242</v>
      </c>
      <c r="D1" s="310" t="s">
        <v>402</v>
      </c>
      <c r="E1" s="310" t="s">
        <v>403</v>
      </c>
      <c r="F1" s="310" t="s">
        <v>404</v>
      </c>
      <c r="G1" s="310" t="s">
        <v>406</v>
      </c>
      <c r="H1" s="310" t="s">
        <v>1243</v>
      </c>
      <c r="I1" s="310" t="s">
        <v>1244</v>
      </c>
      <c r="J1" s="310" t="s">
        <v>1245</v>
      </c>
      <c r="K1" s="310" t="s">
        <v>1246</v>
      </c>
      <c r="L1" s="310" t="s">
        <v>1247</v>
      </c>
      <c r="M1" s="310" t="s">
        <v>1248</v>
      </c>
      <c r="N1" s="310" t="s">
        <v>1249</v>
      </c>
      <c r="O1" s="310" t="s">
        <v>1250</v>
      </c>
      <c r="P1" s="310" t="s">
        <v>1251</v>
      </c>
      <c r="Q1" s="310" t="s">
        <v>1252</v>
      </c>
      <c r="R1" s="310" t="s">
        <v>1253</v>
      </c>
      <c r="S1" s="310" t="s">
        <v>538</v>
      </c>
      <c r="T1" s="310" t="s">
        <v>539</v>
      </c>
      <c r="U1" s="310" t="s">
        <v>540</v>
      </c>
      <c r="V1" s="310" t="s">
        <v>1254</v>
      </c>
      <c r="W1" s="310" t="s">
        <v>1255</v>
      </c>
    </row>
    <row r="2" spans="1:23">
      <c r="A2">
        <v>1</v>
      </c>
      <c r="B2" s="310" t="s">
        <v>1256</v>
      </c>
      <c r="C2" s="310" t="s">
        <v>1256</v>
      </c>
      <c r="D2" s="310" t="s">
        <v>462</v>
      </c>
      <c r="E2" s="310" t="s">
        <v>463</v>
      </c>
      <c r="F2" s="310" t="s">
        <v>435</v>
      </c>
      <c r="G2" s="310"/>
      <c r="H2" s="310" t="s">
        <v>344</v>
      </c>
      <c r="I2" s="310" t="s">
        <v>1257</v>
      </c>
      <c r="J2" s="310" t="s">
        <v>1258</v>
      </c>
      <c r="K2" s="310" t="s">
        <v>715</v>
      </c>
      <c r="L2" s="310" t="s">
        <v>715</v>
      </c>
      <c r="M2" s="310" t="s">
        <v>716</v>
      </c>
      <c r="N2" s="310" t="s">
        <v>1259</v>
      </c>
      <c r="O2" s="310" t="s">
        <v>1260</v>
      </c>
      <c r="P2" s="310" t="s">
        <v>1261</v>
      </c>
      <c r="Q2" s="310" t="s">
        <v>1261</v>
      </c>
      <c r="R2" s="310" t="s">
        <v>268</v>
      </c>
      <c r="S2" s="310" t="s">
        <v>715</v>
      </c>
      <c r="T2" s="310" t="s">
        <v>715</v>
      </c>
      <c r="U2" s="310" t="s">
        <v>716</v>
      </c>
      <c r="V2" s="310" t="s">
        <v>1259</v>
      </c>
      <c r="W2" s="310" t="s">
        <v>1260</v>
      </c>
    </row>
    <row r="3" spans="1:23">
      <c r="A3">
        <v>2</v>
      </c>
      <c r="B3" s="310" t="s">
        <v>1256</v>
      </c>
      <c r="C3" s="310" t="s">
        <v>1256</v>
      </c>
      <c r="D3" s="310" t="s">
        <v>462</v>
      </c>
      <c r="E3" s="310" t="s">
        <v>463</v>
      </c>
      <c r="F3" s="310" t="s">
        <v>435</v>
      </c>
      <c r="G3" s="310"/>
      <c r="H3" s="310" t="s">
        <v>268</v>
      </c>
      <c r="I3" s="310" t="s">
        <v>1262</v>
      </c>
      <c r="J3" s="310" t="s">
        <v>1263</v>
      </c>
      <c r="K3" s="310" t="s">
        <v>715</v>
      </c>
      <c r="L3" s="310" t="s">
        <v>715</v>
      </c>
      <c r="M3" s="310" t="s">
        <v>716</v>
      </c>
      <c r="N3" s="310" t="s">
        <v>1259</v>
      </c>
      <c r="O3" s="310" t="s">
        <v>1260</v>
      </c>
      <c r="P3" s="310" t="s">
        <v>1264</v>
      </c>
      <c r="Q3" s="310" t="s">
        <v>268</v>
      </c>
      <c r="R3" s="310" t="s">
        <v>268</v>
      </c>
      <c r="S3" s="310" t="s">
        <v>715</v>
      </c>
      <c r="T3" s="310" t="s">
        <v>715</v>
      </c>
      <c r="U3" s="310" t="s">
        <v>716</v>
      </c>
      <c r="V3" s="310" t="s">
        <v>1259</v>
      </c>
      <c r="W3" s="310" t="s">
        <v>1260</v>
      </c>
    </row>
    <row r="4" spans="1:23">
      <c r="A4">
        <v>3</v>
      </c>
      <c r="B4" s="310" t="s">
        <v>1256</v>
      </c>
      <c r="C4" s="310" t="s">
        <v>1256</v>
      </c>
      <c r="D4" s="310" t="s">
        <v>462</v>
      </c>
      <c r="E4" s="310" t="s">
        <v>463</v>
      </c>
      <c r="F4" s="310" t="s">
        <v>435</v>
      </c>
      <c r="G4" s="310"/>
      <c r="H4" s="310" t="s">
        <v>358</v>
      </c>
      <c r="I4" s="310" t="s">
        <v>1265</v>
      </c>
      <c r="J4" s="310" t="s">
        <v>1258</v>
      </c>
      <c r="K4" s="310" t="s">
        <v>715</v>
      </c>
      <c r="L4" s="310" t="s">
        <v>715</v>
      </c>
      <c r="M4" s="310" t="s">
        <v>716</v>
      </c>
      <c r="N4" s="310" t="s">
        <v>1259</v>
      </c>
      <c r="O4" s="310" t="s">
        <v>1260</v>
      </c>
      <c r="P4" s="310" t="s">
        <v>1261</v>
      </c>
      <c r="Q4" s="310" t="s">
        <v>1261</v>
      </c>
      <c r="R4" s="310" t="s">
        <v>268</v>
      </c>
      <c r="S4" s="310" t="s">
        <v>715</v>
      </c>
      <c r="T4" s="310" t="s">
        <v>715</v>
      </c>
      <c r="U4" s="310" t="s">
        <v>716</v>
      </c>
      <c r="V4" s="310" t="s">
        <v>1259</v>
      </c>
      <c r="W4" s="310" t="s">
        <v>1260</v>
      </c>
    </row>
    <row r="5" spans="1:23">
      <c r="A5">
        <v>4</v>
      </c>
      <c r="B5" s="310" t="s">
        <v>1256</v>
      </c>
      <c r="C5" s="310" t="s">
        <v>1256</v>
      </c>
      <c r="D5" s="310" t="s">
        <v>462</v>
      </c>
      <c r="E5" s="310" t="s">
        <v>463</v>
      </c>
      <c r="F5" s="310" t="s">
        <v>435</v>
      </c>
      <c r="G5" s="310"/>
      <c r="H5" s="310" t="s">
        <v>359</v>
      </c>
      <c r="I5" s="310" t="s">
        <v>1266</v>
      </c>
      <c r="J5" s="310" t="s">
        <v>1258</v>
      </c>
      <c r="K5" s="310" t="s">
        <v>715</v>
      </c>
      <c r="L5" s="310" t="s">
        <v>715</v>
      </c>
      <c r="M5" s="310" t="s">
        <v>716</v>
      </c>
      <c r="N5" s="310" t="s">
        <v>1259</v>
      </c>
      <c r="O5" s="310" t="s">
        <v>1260</v>
      </c>
      <c r="P5" s="310" t="s">
        <v>1261</v>
      </c>
      <c r="Q5" s="310" t="s">
        <v>1261</v>
      </c>
      <c r="R5" s="310" t="s">
        <v>268</v>
      </c>
      <c r="S5" s="310" t="s">
        <v>715</v>
      </c>
      <c r="T5" s="310" t="s">
        <v>715</v>
      </c>
      <c r="U5" s="310" t="s">
        <v>716</v>
      </c>
      <c r="V5" s="310" t="s">
        <v>1259</v>
      </c>
      <c r="W5" s="310" t="s">
        <v>1260</v>
      </c>
    </row>
    <row r="6" spans="1:23">
      <c r="A6">
        <v>5</v>
      </c>
      <c r="B6" s="310" t="s">
        <v>1256</v>
      </c>
      <c r="C6" s="310" t="s">
        <v>1256</v>
      </c>
      <c r="D6" s="310" t="s">
        <v>462</v>
      </c>
      <c r="E6" s="310" t="s">
        <v>463</v>
      </c>
      <c r="F6" s="310" t="s">
        <v>435</v>
      </c>
      <c r="G6" s="310"/>
      <c r="H6" s="310" t="s">
        <v>118</v>
      </c>
      <c r="I6" s="310" t="s">
        <v>1267</v>
      </c>
      <c r="J6" s="310" t="s">
        <v>1263</v>
      </c>
      <c r="K6" s="310" t="s">
        <v>715</v>
      </c>
      <c r="L6" s="310" t="s">
        <v>715</v>
      </c>
      <c r="M6" s="310" t="s">
        <v>716</v>
      </c>
      <c r="N6" s="310" t="s">
        <v>1259</v>
      </c>
      <c r="O6" s="310" t="s">
        <v>1260</v>
      </c>
      <c r="P6" s="310" t="s">
        <v>1268</v>
      </c>
      <c r="Q6" s="310" t="s">
        <v>1269</v>
      </c>
      <c r="R6" s="310" t="s">
        <v>268</v>
      </c>
      <c r="S6" s="310" t="s">
        <v>715</v>
      </c>
      <c r="T6" s="310" t="s">
        <v>715</v>
      </c>
      <c r="U6" s="310" t="s">
        <v>716</v>
      </c>
      <c r="V6" s="310" t="s">
        <v>1259</v>
      </c>
      <c r="W6" s="310" t="s">
        <v>1260</v>
      </c>
    </row>
    <row r="7" spans="1:23">
      <c r="A7">
        <v>6</v>
      </c>
      <c r="B7" s="310" t="s">
        <v>1256</v>
      </c>
      <c r="C7" s="310" t="s">
        <v>1256</v>
      </c>
      <c r="D7" s="310" t="s">
        <v>462</v>
      </c>
      <c r="E7" s="310" t="s">
        <v>463</v>
      </c>
      <c r="F7" s="310" t="s">
        <v>435</v>
      </c>
      <c r="G7" s="310"/>
      <c r="H7" s="310" t="s">
        <v>376</v>
      </c>
      <c r="I7" s="310" t="s">
        <v>1270</v>
      </c>
      <c r="J7" s="310" t="s">
        <v>1258</v>
      </c>
      <c r="K7" s="310" t="s">
        <v>715</v>
      </c>
      <c r="L7" s="310" t="s">
        <v>715</v>
      </c>
      <c r="M7" s="310" t="s">
        <v>716</v>
      </c>
      <c r="N7" s="310" t="s">
        <v>1259</v>
      </c>
      <c r="O7" s="310" t="s">
        <v>1260</v>
      </c>
      <c r="P7" s="310" t="s">
        <v>1261</v>
      </c>
      <c r="Q7" s="310" t="s">
        <v>1261</v>
      </c>
      <c r="R7" s="310" t="s">
        <v>268</v>
      </c>
      <c r="S7" s="310" t="s">
        <v>715</v>
      </c>
      <c r="T7" s="310" t="s">
        <v>715</v>
      </c>
      <c r="U7" s="310" t="s">
        <v>716</v>
      </c>
      <c r="V7" s="310" t="s">
        <v>1259</v>
      </c>
      <c r="W7" s="310" t="s">
        <v>1260</v>
      </c>
    </row>
    <row r="8" spans="1:23">
      <c r="A8">
        <v>7</v>
      </c>
      <c r="B8" s="310" t="s">
        <v>1256</v>
      </c>
      <c r="C8" s="310" t="s">
        <v>1256</v>
      </c>
      <c r="D8" s="310" t="s">
        <v>462</v>
      </c>
      <c r="E8" s="310" t="s">
        <v>463</v>
      </c>
      <c r="F8" s="310" t="s">
        <v>435</v>
      </c>
      <c r="G8" s="310"/>
      <c r="H8" s="310" t="s">
        <v>119</v>
      </c>
      <c r="I8" s="310" t="s">
        <v>1271</v>
      </c>
      <c r="J8" s="310" t="s">
        <v>1258</v>
      </c>
      <c r="K8" s="310" t="s">
        <v>715</v>
      </c>
      <c r="L8" s="310" t="s">
        <v>715</v>
      </c>
      <c r="M8" s="310" t="s">
        <v>716</v>
      </c>
      <c r="N8" s="310" t="s">
        <v>1259</v>
      </c>
      <c r="O8" s="310" t="s">
        <v>1260</v>
      </c>
      <c r="P8" s="310" t="s">
        <v>1261</v>
      </c>
      <c r="Q8" s="310" t="s">
        <v>1261</v>
      </c>
      <c r="R8" s="310" t="s">
        <v>268</v>
      </c>
      <c r="S8" s="310" t="s">
        <v>715</v>
      </c>
      <c r="T8" s="310" t="s">
        <v>715</v>
      </c>
      <c r="U8" s="310" t="s">
        <v>716</v>
      </c>
      <c r="V8" s="310" t="s">
        <v>1259</v>
      </c>
      <c r="W8" s="310" t="s">
        <v>1260</v>
      </c>
    </row>
    <row r="9" spans="1:23">
      <c r="A9">
        <v>8</v>
      </c>
      <c r="B9" s="310" t="s">
        <v>1256</v>
      </c>
      <c r="C9" s="310" t="s">
        <v>1256</v>
      </c>
      <c r="D9" s="310" t="s">
        <v>462</v>
      </c>
      <c r="E9" s="310" t="s">
        <v>463</v>
      </c>
      <c r="F9" s="310" t="s">
        <v>435</v>
      </c>
      <c r="G9" s="310"/>
      <c r="H9" s="310" t="s">
        <v>120</v>
      </c>
      <c r="I9" s="310" t="s">
        <v>1272</v>
      </c>
      <c r="J9" s="310" t="s">
        <v>1258</v>
      </c>
      <c r="K9" s="310" t="s">
        <v>715</v>
      </c>
      <c r="L9" s="310" t="s">
        <v>715</v>
      </c>
      <c r="M9" s="310" t="s">
        <v>716</v>
      </c>
      <c r="N9" s="310" t="s">
        <v>1259</v>
      </c>
      <c r="O9" s="310" t="s">
        <v>1260</v>
      </c>
      <c r="P9" s="310" t="s">
        <v>1261</v>
      </c>
      <c r="Q9" s="310" t="s">
        <v>1261</v>
      </c>
      <c r="R9" s="310" t="s">
        <v>268</v>
      </c>
      <c r="S9" s="310" t="s">
        <v>715</v>
      </c>
      <c r="T9" s="310" t="s">
        <v>715</v>
      </c>
      <c r="U9" s="310" t="s">
        <v>716</v>
      </c>
      <c r="V9" s="310" t="s">
        <v>1259</v>
      </c>
      <c r="W9" s="310" t="s">
        <v>1260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STOP_REASON">
    <tabColor indexed="47"/>
  </sheetPr>
  <dimension ref="A1:D3"/>
  <sheetViews>
    <sheetView workbookViewId="0"/>
  </sheetViews>
  <sheetFormatPr defaultRowHeight="11.25"/>
  <sheetData>
    <row r="1" spans="1:4">
      <c r="B1" s="310" t="s">
        <v>1231</v>
      </c>
      <c r="C1" s="310" t="s">
        <v>1232</v>
      </c>
      <c r="D1" s="310" t="s">
        <v>541</v>
      </c>
    </row>
    <row r="2" spans="1:4">
      <c r="A2">
        <v>1</v>
      </c>
      <c r="B2" s="310" t="s">
        <v>1233</v>
      </c>
      <c r="C2" s="310" t="s">
        <v>293</v>
      </c>
      <c r="D2" s="310" t="s">
        <v>268</v>
      </c>
    </row>
    <row r="3" spans="1:4">
      <c r="A3">
        <v>2</v>
      </c>
      <c r="B3" s="310" t="s">
        <v>1234</v>
      </c>
      <c r="C3" s="310" t="s">
        <v>292</v>
      </c>
      <c r="D3" s="310" t="s">
        <v>268</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workbookViewId="0"/>
  </sheetViews>
  <sheetFormatPr defaultColWidth="9.140625" defaultRowHeight="11.25"/>
  <cols>
    <col min="1" max="16384" width="9.140625" style="2"/>
  </cols>
  <sheetData/>
  <phoneticPr fontId="1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1280"/>
  <sheetViews>
    <sheetView showGridLines="0" zoomScaleNormal="100" workbookViewId="0"/>
  </sheetViews>
  <sheetFormatPr defaultColWidth="9.140625" defaultRowHeight="12.75"/>
  <cols>
    <col min="1" max="16384" width="9.140625" style="256"/>
  </cols>
  <sheetData>
    <row r="1" spans="1:1">
      <c r="A1" s="255">
        <f>IF(ИП!$E$51="",1,0)</f>
        <v>0</v>
      </c>
    </row>
    <row r="2" spans="1:1">
      <c r="A2" s="255">
        <f>IF(ИП!$G$51="",1,0)</f>
        <v>0</v>
      </c>
    </row>
    <row r="3" spans="1:1">
      <c r="A3" s="255">
        <f>IF(ИП!$K$51="",1,0)</f>
        <v>0</v>
      </c>
    </row>
    <row r="4" spans="1:1">
      <c r="A4" s="255">
        <f>IF(ИП!$L$51="",1,0)</f>
        <v>0</v>
      </c>
    </row>
    <row r="5" spans="1:1">
      <c r="A5" s="255">
        <f>IF(ИП!$M$51="",1,0)</f>
        <v>0</v>
      </c>
    </row>
    <row r="6" spans="1:1">
      <c r="A6" s="255">
        <f>IF(ИП!$P$52="",1,0)</f>
        <v>0</v>
      </c>
    </row>
    <row r="7" spans="1:1">
      <c r="A7" s="255">
        <f>IF(ИП!$AG$53="",1,0)</f>
        <v>0</v>
      </c>
    </row>
    <row r="8" spans="1:1">
      <c r="A8" s="255">
        <f>IF(ИП!$H$51="",1,0)</f>
        <v>0</v>
      </c>
    </row>
    <row r="9" spans="1:1">
      <c r="A9" s="255">
        <f>IF(ИП!$Q$52="",1,0)</f>
        <v>0</v>
      </c>
    </row>
    <row r="10" spans="1:1">
      <c r="A10" s="255">
        <f>IF(ИП!$E$57="",1,0)</f>
        <v>0</v>
      </c>
    </row>
    <row r="11" spans="1:1">
      <c r="A11" s="255">
        <f>IF(ИП!$G$57="",1,0)</f>
        <v>0</v>
      </c>
    </row>
    <row r="12" spans="1:1">
      <c r="A12" s="255">
        <f>IF(ИП!$K$57="",1,0)</f>
        <v>0</v>
      </c>
    </row>
    <row r="13" spans="1:1">
      <c r="A13" s="255">
        <f>IF(ИП!$L$57="",1,0)</f>
        <v>0</v>
      </c>
    </row>
    <row r="14" spans="1:1">
      <c r="A14" s="255">
        <f>IF(ИП!$M$57="",1,0)</f>
        <v>0</v>
      </c>
    </row>
    <row r="15" spans="1:1">
      <c r="A15" s="255">
        <f>IF(ИП!$P$58="",1,0)</f>
        <v>0</v>
      </c>
    </row>
    <row r="16" spans="1:1">
      <c r="A16" s="255">
        <f>IF(ИП!$AG$59="",1,0)</f>
        <v>0</v>
      </c>
    </row>
    <row r="17" spans="1:1">
      <c r="A17" s="255">
        <f>IF(ИП!$H$57="",1,0)</f>
        <v>0</v>
      </c>
    </row>
    <row r="18" spans="1:1">
      <c r="A18" s="255">
        <f>IF(ИП!$Q$58="",1,0)</f>
        <v>0</v>
      </c>
    </row>
    <row r="19" spans="1:1">
      <c r="A19" s="255">
        <f>IF(ИП!$E$63="",1,0)</f>
        <v>0</v>
      </c>
    </row>
    <row r="20" spans="1:1">
      <c r="A20" s="255">
        <f>IF(ИП!$G$63="",1,0)</f>
        <v>0</v>
      </c>
    </row>
    <row r="21" spans="1:1">
      <c r="A21" s="255">
        <f>IF(ИП!$K$63="",1,0)</f>
        <v>0</v>
      </c>
    </row>
    <row r="22" spans="1:1">
      <c r="A22" s="255">
        <f>IF(ИП!$L$63="",1,0)</f>
        <v>0</v>
      </c>
    </row>
    <row r="23" spans="1:1">
      <c r="A23" s="255">
        <f>IF(ИП!$M$63="",1,0)</f>
        <v>0</v>
      </c>
    </row>
    <row r="24" spans="1:1">
      <c r="A24" s="255">
        <f>IF(ИП!$P$64="",1,0)</f>
        <v>0</v>
      </c>
    </row>
    <row r="25" spans="1:1">
      <c r="A25" s="255">
        <f>IF(ИП!$AG$65="",1,0)</f>
        <v>0</v>
      </c>
    </row>
    <row r="26" spans="1:1">
      <c r="A26" s="255">
        <f>IF(ИП!$H$63="",1,0)</f>
        <v>0</v>
      </c>
    </row>
    <row r="27" spans="1:1">
      <c r="A27" s="255">
        <f>IF(ИП!$Q$64="",1,0)</f>
        <v>0</v>
      </c>
    </row>
    <row r="28" spans="1:1">
      <c r="A28" s="255">
        <f>IF(ИП!$E$69="",1,0)</f>
        <v>0</v>
      </c>
    </row>
    <row r="29" spans="1:1">
      <c r="A29" s="255">
        <f>IF(ИП!$G$69="",1,0)</f>
        <v>0</v>
      </c>
    </row>
    <row r="30" spans="1:1">
      <c r="A30" s="255">
        <f>IF(ИП!$K$69="",1,0)</f>
        <v>0</v>
      </c>
    </row>
    <row r="31" spans="1:1">
      <c r="A31" s="255">
        <f>IF(ИП!$L$69="",1,0)</f>
        <v>0</v>
      </c>
    </row>
    <row r="32" spans="1:1">
      <c r="A32" s="255">
        <f>IF(ИП!$M$69="",1,0)</f>
        <v>0</v>
      </c>
    </row>
    <row r="33" spans="1:1">
      <c r="A33" s="255">
        <f>IF(ИП!$P$70="",1,0)</f>
        <v>0</v>
      </c>
    </row>
    <row r="34" spans="1:1">
      <c r="A34" s="255">
        <f>IF(ИП!$AG$71="",1,0)</f>
        <v>0</v>
      </c>
    </row>
    <row r="35" spans="1:1">
      <c r="A35" s="255">
        <f>IF(ИП!$H$69="",1,0)</f>
        <v>0</v>
      </c>
    </row>
    <row r="36" spans="1:1">
      <c r="A36" s="255">
        <f>IF(ИП!$Q$70="",1,0)</f>
        <v>0</v>
      </c>
    </row>
    <row r="37" spans="1:1">
      <c r="A37" s="255">
        <f>IF(ИП!$E$75="",1,0)</f>
        <v>0</v>
      </c>
    </row>
    <row r="38" spans="1:1">
      <c r="A38" s="255">
        <f>IF(ИП!$G$75="",1,0)</f>
        <v>0</v>
      </c>
    </row>
    <row r="39" spans="1:1">
      <c r="A39" s="255">
        <f>IF(ИП!$K$75="",1,0)</f>
        <v>0</v>
      </c>
    </row>
    <row r="40" spans="1:1">
      <c r="A40" s="255">
        <f>IF(ИП!$L$75="",1,0)</f>
        <v>0</v>
      </c>
    </row>
    <row r="41" spans="1:1">
      <c r="A41" s="255">
        <f>IF(ИП!$M$75="",1,0)</f>
        <v>0</v>
      </c>
    </row>
    <row r="42" spans="1:1">
      <c r="A42" s="255">
        <f>IF(ИП!$P$76="",1,0)</f>
        <v>0</v>
      </c>
    </row>
    <row r="43" spans="1:1">
      <c r="A43" s="255">
        <f>IF(ИП!$AG$77="",1,0)</f>
        <v>0</v>
      </c>
    </row>
    <row r="44" spans="1:1">
      <c r="A44" s="255">
        <f>IF(ИП!$H$75="",1,0)</f>
        <v>0</v>
      </c>
    </row>
    <row r="45" spans="1:1">
      <c r="A45" s="255">
        <f>IF(ИП!$Q$76="",1,0)</f>
        <v>0</v>
      </c>
    </row>
    <row r="46" spans="1:1">
      <c r="A46" s="255">
        <f>IF(ИП!$E$81="",1,0)</f>
        <v>0</v>
      </c>
    </row>
    <row r="47" spans="1:1">
      <c r="A47" s="255">
        <f>IF(ИП!$G$81="",1,0)</f>
        <v>0</v>
      </c>
    </row>
    <row r="48" spans="1:1">
      <c r="A48" s="255">
        <f>IF(ИП!$K$81="",1,0)</f>
        <v>0</v>
      </c>
    </row>
    <row r="49" spans="1:1">
      <c r="A49" s="255">
        <f>IF(ИП!$L$81="",1,0)</f>
        <v>0</v>
      </c>
    </row>
    <row r="50" spans="1:1">
      <c r="A50" s="255">
        <f>IF(ИП!$M$81="",1,0)</f>
        <v>0</v>
      </c>
    </row>
    <row r="51" spans="1:1">
      <c r="A51" s="255">
        <f>IF(ИП!$P$82="",1,0)</f>
        <v>0</v>
      </c>
    </row>
    <row r="52" spans="1:1">
      <c r="A52" s="255">
        <f>IF(ИП!$AG$83="",1,0)</f>
        <v>0</v>
      </c>
    </row>
    <row r="53" spans="1:1">
      <c r="A53" s="255">
        <f>IF(ИП!$H$81="",1,0)</f>
        <v>0</v>
      </c>
    </row>
    <row r="54" spans="1:1">
      <c r="A54" s="255">
        <f>IF(ИП!$Q$82="",1,0)</f>
        <v>0</v>
      </c>
    </row>
    <row r="55" spans="1:1">
      <c r="A55" s="255">
        <f>IF(ИП!$E$87="",1,0)</f>
        <v>0</v>
      </c>
    </row>
    <row r="56" spans="1:1">
      <c r="A56" s="255">
        <f>IF(ИП!$G$87="",1,0)</f>
        <v>0</v>
      </c>
    </row>
    <row r="57" spans="1:1">
      <c r="A57" s="255">
        <f>IF(ИП!$K$87="",1,0)</f>
        <v>0</v>
      </c>
    </row>
    <row r="58" spans="1:1">
      <c r="A58" s="255">
        <f>IF(ИП!$L$87="",1,0)</f>
        <v>0</v>
      </c>
    </row>
    <row r="59" spans="1:1">
      <c r="A59" s="255">
        <f>IF(ИП!$M$87="",1,0)</f>
        <v>0</v>
      </c>
    </row>
    <row r="60" spans="1:1">
      <c r="A60" s="255">
        <f>IF(ИП!$P$88="",1,0)</f>
        <v>0</v>
      </c>
    </row>
    <row r="61" spans="1:1">
      <c r="A61" s="255">
        <f>IF(ИП!$AG$89="",1,0)</f>
        <v>0</v>
      </c>
    </row>
    <row r="62" spans="1:1">
      <c r="A62" s="255">
        <f>IF(ИП!$H$87="",1,0)</f>
        <v>0</v>
      </c>
    </row>
    <row r="63" spans="1:1">
      <c r="A63" s="255">
        <f>IF(ИП!$Q$88="",1,0)</f>
        <v>0</v>
      </c>
    </row>
    <row r="64" spans="1:1">
      <c r="A64" s="255">
        <f>IF(ИП!$E$93="",1,0)</f>
        <v>0</v>
      </c>
    </row>
    <row r="65" spans="1:1">
      <c r="A65" s="255">
        <f>IF(ИП!$G$93="",1,0)</f>
        <v>0</v>
      </c>
    </row>
    <row r="66" spans="1:1">
      <c r="A66" s="255">
        <f>IF(ИП!$K$93="",1,0)</f>
        <v>0</v>
      </c>
    </row>
    <row r="67" spans="1:1">
      <c r="A67" s="255">
        <f>IF(ИП!$L$93="",1,0)</f>
        <v>0</v>
      </c>
    </row>
    <row r="68" spans="1:1">
      <c r="A68" s="255">
        <f>IF(ИП!$M$93="",1,0)</f>
        <v>0</v>
      </c>
    </row>
    <row r="69" spans="1:1">
      <c r="A69" s="255">
        <f>IF(ИП!$P$94="",1,0)</f>
        <v>0</v>
      </c>
    </row>
    <row r="70" spans="1:1">
      <c r="A70" s="255">
        <f>IF(ИП!$AG$95="",1,0)</f>
        <v>0</v>
      </c>
    </row>
    <row r="71" spans="1:1">
      <c r="A71" s="255">
        <f>IF(ИП!$H$93="",1,0)</f>
        <v>0</v>
      </c>
    </row>
    <row r="72" spans="1:1">
      <c r="A72" s="255">
        <f>IF(ИП!$Q$94="",1,0)</f>
        <v>0</v>
      </c>
    </row>
    <row r="73" spans="1:1">
      <c r="A73" s="255">
        <f>IF(ИП!$E$99="",1,0)</f>
        <v>0</v>
      </c>
    </row>
    <row r="74" spans="1:1">
      <c r="A74" s="255">
        <f>IF(ИП!$G$99="",1,0)</f>
        <v>0</v>
      </c>
    </row>
    <row r="75" spans="1:1">
      <c r="A75" s="255">
        <f>IF(ИП!$K$99="",1,0)</f>
        <v>0</v>
      </c>
    </row>
    <row r="76" spans="1:1">
      <c r="A76" s="255">
        <f>IF(ИП!$L$99="",1,0)</f>
        <v>0</v>
      </c>
    </row>
    <row r="77" spans="1:1">
      <c r="A77" s="255">
        <f>IF(ИП!$M$99="",1,0)</f>
        <v>0</v>
      </c>
    </row>
    <row r="78" spans="1:1">
      <c r="A78" s="255">
        <f>IF(ИП!$P$100="",1,0)</f>
        <v>0</v>
      </c>
    </row>
    <row r="79" spans="1:1">
      <c r="A79" s="255">
        <f>IF(ИП!$AG$101="",1,0)</f>
        <v>0</v>
      </c>
    </row>
    <row r="80" spans="1:1">
      <c r="A80" s="255">
        <f>IF(ИП!$H$99="",1,0)</f>
        <v>0</v>
      </c>
    </row>
    <row r="81" spans="1:1">
      <c r="A81" s="255">
        <f>IF(ИП!$Q$100="",1,0)</f>
        <v>0</v>
      </c>
    </row>
    <row r="82" spans="1:1">
      <c r="A82" s="255">
        <f>IF(ИП!$E$105="",1,0)</f>
        <v>0</v>
      </c>
    </row>
    <row r="83" spans="1:1">
      <c r="A83" s="255">
        <f>IF(ИП!$G$105="",1,0)</f>
        <v>0</v>
      </c>
    </row>
    <row r="84" spans="1:1">
      <c r="A84" s="255">
        <f>IF(ИП!$K$105="",1,0)</f>
        <v>0</v>
      </c>
    </row>
    <row r="85" spans="1:1">
      <c r="A85" s="255">
        <f>IF(ИП!$L$105="",1,0)</f>
        <v>0</v>
      </c>
    </row>
    <row r="86" spans="1:1">
      <c r="A86" s="255">
        <f>IF(ИП!$M$105="",1,0)</f>
        <v>0</v>
      </c>
    </row>
    <row r="87" spans="1:1">
      <c r="A87" s="255">
        <f>IF(ИП!$P$106="",1,0)</f>
        <v>0</v>
      </c>
    </row>
    <row r="88" spans="1:1">
      <c r="A88" s="255">
        <f>IF(ИП!$AG$107="",1,0)</f>
        <v>0</v>
      </c>
    </row>
    <row r="89" spans="1:1">
      <c r="A89" s="255">
        <f>IF(ИП!$H$105="",1,0)</f>
        <v>0</v>
      </c>
    </row>
    <row r="90" spans="1:1">
      <c r="A90" s="255">
        <f>IF(ИП!$Q$106="",1,0)</f>
        <v>0</v>
      </c>
    </row>
    <row r="91" spans="1:1">
      <c r="A91" s="255">
        <f>IF(ИП!$E$111="",1,0)</f>
        <v>0</v>
      </c>
    </row>
    <row r="92" spans="1:1">
      <c r="A92" s="255">
        <f>IF(ИП!$G$111="",1,0)</f>
        <v>0</v>
      </c>
    </row>
    <row r="93" spans="1:1">
      <c r="A93" s="255">
        <f>IF(ИП!$K$111="",1,0)</f>
        <v>0</v>
      </c>
    </row>
    <row r="94" spans="1:1">
      <c r="A94" s="255">
        <f>IF(ИП!$L$111="",1,0)</f>
        <v>0</v>
      </c>
    </row>
    <row r="95" spans="1:1">
      <c r="A95" s="255">
        <f>IF(ИП!$M$111="",1,0)</f>
        <v>0</v>
      </c>
    </row>
    <row r="96" spans="1:1">
      <c r="A96" s="255">
        <f>IF(ИП!$P$112="",1,0)</f>
        <v>0</v>
      </c>
    </row>
    <row r="97" spans="1:1">
      <c r="A97" s="255">
        <f>IF(ИП!$AG$113="",1,0)</f>
        <v>0</v>
      </c>
    </row>
    <row r="98" spans="1:1">
      <c r="A98" s="255">
        <f>IF(ИП!$H$111="",1,0)</f>
        <v>0</v>
      </c>
    </row>
    <row r="99" spans="1:1">
      <c r="A99" s="255">
        <f>IF(ИП!$Q$112="",1,0)</f>
        <v>0</v>
      </c>
    </row>
    <row r="100" spans="1:1">
      <c r="A100" s="255">
        <f>IF(ИП!$E$117="",1,0)</f>
        <v>0</v>
      </c>
    </row>
    <row r="101" spans="1:1">
      <c r="A101" s="255">
        <f>IF(ИП!$G$117="",1,0)</f>
        <v>0</v>
      </c>
    </row>
    <row r="102" spans="1:1">
      <c r="A102" s="255">
        <f>IF(ИП!$K$117="",1,0)</f>
        <v>0</v>
      </c>
    </row>
    <row r="103" spans="1:1">
      <c r="A103" s="255">
        <f>IF(ИП!$L$117="",1,0)</f>
        <v>0</v>
      </c>
    </row>
    <row r="104" spans="1:1">
      <c r="A104" s="255">
        <f>IF(ИП!$M$117="",1,0)</f>
        <v>0</v>
      </c>
    </row>
    <row r="105" spans="1:1">
      <c r="A105" s="255">
        <f>IF(ИП!$P$118="",1,0)</f>
        <v>0</v>
      </c>
    </row>
    <row r="106" spans="1:1">
      <c r="A106" s="255">
        <f>IF(ИП!$AG$119="",1,0)</f>
        <v>0</v>
      </c>
    </row>
    <row r="107" spans="1:1">
      <c r="A107" s="255">
        <f>IF(ИП!$H$117="",1,0)</f>
        <v>0</v>
      </c>
    </row>
    <row r="108" spans="1:1">
      <c r="A108" s="255">
        <f>IF(ИП!$Q$118="",1,0)</f>
        <v>0</v>
      </c>
    </row>
    <row r="109" spans="1:1">
      <c r="A109" s="255">
        <f>IF(ИП!$E$123="",1,0)</f>
        <v>0</v>
      </c>
    </row>
    <row r="110" spans="1:1">
      <c r="A110" s="255">
        <f>IF(ИП!$G$123="",1,0)</f>
        <v>0</v>
      </c>
    </row>
    <row r="111" spans="1:1">
      <c r="A111" s="255">
        <f>IF(ИП!$K$123="",1,0)</f>
        <v>0</v>
      </c>
    </row>
    <row r="112" spans="1:1">
      <c r="A112" s="255">
        <f>IF(ИП!$L$123="",1,0)</f>
        <v>0</v>
      </c>
    </row>
    <row r="113" spans="1:1">
      <c r="A113" s="255">
        <f>IF(ИП!$M$123="",1,0)</f>
        <v>0</v>
      </c>
    </row>
    <row r="114" spans="1:1">
      <c r="A114" s="255">
        <f>IF(ИП!$P$124="",1,0)</f>
        <v>0</v>
      </c>
    </row>
    <row r="115" spans="1:1">
      <c r="A115" s="255">
        <f>IF(ИП!$AG$125="",1,0)</f>
        <v>0</v>
      </c>
    </row>
    <row r="116" spans="1:1">
      <c r="A116" s="255">
        <f>IF(ИП!$H$123="",1,0)</f>
        <v>0</v>
      </c>
    </row>
    <row r="117" spans="1:1">
      <c r="A117" s="255">
        <f>IF(ИП!$Q$124="",1,0)</f>
        <v>1</v>
      </c>
    </row>
    <row r="118" spans="1:1">
      <c r="A118" s="255">
        <f>IF(ИП!$E$131="",1,0)</f>
        <v>0</v>
      </c>
    </row>
    <row r="119" spans="1:1">
      <c r="A119" s="255">
        <f>IF(ИП!$G$131="",1,0)</f>
        <v>0</v>
      </c>
    </row>
    <row r="120" spans="1:1">
      <c r="A120" s="255">
        <f>IF(ИП!$K$131="",1,0)</f>
        <v>0</v>
      </c>
    </row>
    <row r="121" spans="1:1">
      <c r="A121" s="255">
        <f>IF(ИП!$L$131="",1,0)</f>
        <v>0</v>
      </c>
    </row>
    <row r="122" spans="1:1">
      <c r="A122" s="255">
        <f>IF(ИП!$M$131="",1,0)</f>
        <v>0</v>
      </c>
    </row>
    <row r="123" spans="1:1">
      <c r="A123" s="255">
        <f>IF(ИП!$P$132="",1,0)</f>
        <v>0</v>
      </c>
    </row>
    <row r="124" spans="1:1">
      <c r="A124" s="255">
        <f>IF(ИП!$AG$133="",1,0)</f>
        <v>0</v>
      </c>
    </row>
    <row r="125" spans="1:1">
      <c r="A125" s="255">
        <f>IF(ИП!$H$131="",1,0)</f>
        <v>0</v>
      </c>
    </row>
    <row r="126" spans="1:1">
      <c r="A126" s="255">
        <f>IF(ИП!$Q$132="",1,0)</f>
        <v>1</v>
      </c>
    </row>
    <row r="127" spans="1:1">
      <c r="A127" s="255">
        <f>IF(ИП!$E$137="",1,0)</f>
        <v>0</v>
      </c>
    </row>
    <row r="128" spans="1:1">
      <c r="A128" s="255">
        <f>IF(ИП!$G$137="",1,0)</f>
        <v>0</v>
      </c>
    </row>
    <row r="129" spans="1:1">
      <c r="A129" s="255">
        <f>IF(ИП!$K$137="",1,0)</f>
        <v>0</v>
      </c>
    </row>
    <row r="130" spans="1:1">
      <c r="A130" s="255">
        <f>IF(ИП!$L$137="",1,0)</f>
        <v>0</v>
      </c>
    </row>
    <row r="131" spans="1:1">
      <c r="A131" s="255">
        <f>IF(ИП!$M$137="",1,0)</f>
        <v>0</v>
      </c>
    </row>
    <row r="132" spans="1:1">
      <c r="A132" s="255">
        <f>IF(ИП!$P$138="",1,0)</f>
        <v>0</v>
      </c>
    </row>
    <row r="133" spans="1:1">
      <c r="A133" s="255">
        <f>IF(ИП!$AG$139="",1,0)</f>
        <v>0</v>
      </c>
    </row>
    <row r="134" spans="1:1">
      <c r="A134" s="255">
        <f>IF(ИП!$H$137="",1,0)</f>
        <v>0</v>
      </c>
    </row>
    <row r="135" spans="1:1">
      <c r="A135" s="255">
        <f>IF(ИП!$Q$138="",1,0)</f>
        <v>1</v>
      </c>
    </row>
    <row r="136" spans="1:1">
      <c r="A136" s="255">
        <f>IF(ИП!$AG$140="",1,0)</f>
        <v>0</v>
      </c>
    </row>
    <row r="137" spans="1:1">
      <c r="A137" s="255">
        <f>IF(ИП!$AG$141="",1,0)</f>
        <v>0</v>
      </c>
    </row>
    <row r="138" spans="1:1">
      <c r="A138" s="255">
        <f>IF(ИП!$AG$142="",1,0)</f>
        <v>0</v>
      </c>
    </row>
    <row r="139" spans="1:1">
      <c r="A139" s="255">
        <f>IF(ИП!$AG$134="",1,0)</f>
        <v>0</v>
      </c>
    </row>
    <row r="140" spans="1:1">
      <c r="A140" s="255">
        <f>IF(ИП!$AG$126="",1,0)</f>
        <v>0</v>
      </c>
    </row>
    <row r="141" spans="1:1">
      <c r="A141" s="255">
        <f>IF(ИП!$AG$120="",1,0)</f>
        <v>0</v>
      </c>
    </row>
    <row r="142" spans="1:1">
      <c r="A142" s="255">
        <f>IF(ИП!$AG$114="",1,0)</f>
        <v>0</v>
      </c>
    </row>
    <row r="143" spans="1:1">
      <c r="A143" s="255">
        <f>IF(ИП!$AG$108="",1,0)</f>
        <v>0</v>
      </c>
    </row>
    <row r="144" spans="1:1">
      <c r="A144" s="255">
        <f>IF(ИП!$AG$102="",1,0)</f>
        <v>0</v>
      </c>
    </row>
    <row r="145" spans="1:1">
      <c r="A145" s="255">
        <f>IF(ИП!$AG$96="",1,0)</f>
        <v>0</v>
      </c>
    </row>
    <row r="146" spans="1:1">
      <c r="A146" s="255">
        <f>IF(ИП!$AG$90="",1,0)</f>
        <v>0</v>
      </c>
    </row>
    <row r="147" spans="1:1">
      <c r="A147" s="255">
        <f>IF(ИП!$AG$84="",1,0)</f>
        <v>0</v>
      </c>
    </row>
    <row r="148" spans="1:1">
      <c r="A148" s="255">
        <f>IF(ИП!$AG$78="",1,0)</f>
        <v>0</v>
      </c>
    </row>
    <row r="149" spans="1:1">
      <c r="A149" s="255">
        <f>IF(ИП!$AG$72="",1,0)</f>
        <v>0</v>
      </c>
    </row>
    <row r="150" spans="1:1">
      <c r="A150" s="255">
        <f>IF(ИП!$AG$66="",1,0)</f>
        <v>0</v>
      </c>
    </row>
    <row r="151" spans="1:1">
      <c r="A151" s="255">
        <f>IF(ИП!$AG$60="",1,0)</f>
        <v>0</v>
      </c>
    </row>
    <row r="152" spans="1:1">
      <c r="A152" s="255">
        <f>IF(ИП!$AG$54="",1,0)</f>
        <v>0</v>
      </c>
    </row>
    <row r="153" spans="1:1">
      <c r="A153" s="255">
        <f>IF(ИП!$E$145="",1,0)</f>
        <v>0</v>
      </c>
    </row>
    <row r="154" spans="1:1">
      <c r="A154" s="255">
        <f>IF(ИП!$G$145="",1,0)</f>
        <v>0</v>
      </c>
    </row>
    <row r="155" spans="1:1">
      <c r="A155" s="255">
        <f>IF(ИП!$K$145="",1,0)</f>
        <v>0</v>
      </c>
    </row>
    <row r="156" spans="1:1">
      <c r="A156" s="255">
        <f>IF(ИП!$L$145="",1,0)</f>
        <v>0</v>
      </c>
    </row>
    <row r="157" spans="1:1">
      <c r="A157" s="255">
        <f>IF(ИП!$M$145="",1,0)</f>
        <v>0</v>
      </c>
    </row>
    <row r="158" spans="1:1">
      <c r="A158" s="255">
        <f>IF(ИП!$P$146="",1,0)</f>
        <v>0</v>
      </c>
    </row>
    <row r="159" spans="1:1">
      <c r="A159" s="255">
        <f>IF(ИП!$AG$147="",1,0)</f>
        <v>0</v>
      </c>
    </row>
    <row r="160" spans="1:1">
      <c r="A160" s="255">
        <f>IF(ИП!$H$145="",1,0)</f>
        <v>0</v>
      </c>
    </row>
    <row r="161" spans="1:1">
      <c r="A161" s="255">
        <f>IF(ИП!$Q$146="",1,0)</f>
        <v>1</v>
      </c>
    </row>
    <row r="162" spans="1:1">
      <c r="A162" s="255">
        <f>IF(ИП!$AG$127="",1,0)</f>
        <v>0</v>
      </c>
    </row>
    <row r="163" spans="1:1">
      <c r="A163" s="255">
        <f>IF(ИП!$AG$128="",1,0)</f>
        <v>0</v>
      </c>
    </row>
    <row r="164" spans="1:1">
      <c r="A164" s="255">
        <f>IF(ИП!$AG$148="",1,0)</f>
        <v>0</v>
      </c>
    </row>
    <row r="165" spans="1:1">
      <c r="A165" s="255">
        <f>IF(ИП!$AG$149="",1,0)</f>
        <v>0</v>
      </c>
    </row>
    <row r="166" spans="1:1">
      <c r="A166" s="255">
        <f>IF(ИП!$AG$150="",1,0)</f>
        <v>0</v>
      </c>
    </row>
    <row r="167" spans="1:1">
      <c r="A167" s="255">
        <f>IF(ИП!$E$160="",1,0)</f>
        <v>0</v>
      </c>
    </row>
    <row r="168" spans="1:1">
      <c r="A168" s="255">
        <f>IF(ИП!$G$160="",1,0)</f>
        <v>0</v>
      </c>
    </row>
    <row r="169" spans="1:1">
      <c r="A169" s="255">
        <f>IF(ИП!$K$160="",1,0)</f>
        <v>0</v>
      </c>
    </row>
    <row r="170" spans="1:1">
      <c r="A170" s="255">
        <f>IF(ИП!$L$160="",1,0)</f>
        <v>0</v>
      </c>
    </row>
    <row r="171" spans="1:1">
      <c r="A171" s="255">
        <f>IF(ИП!$M$160="",1,0)</f>
        <v>0</v>
      </c>
    </row>
    <row r="172" spans="1:1">
      <c r="A172" s="255">
        <f>IF(ИП!$P$161="",1,0)</f>
        <v>0</v>
      </c>
    </row>
    <row r="173" spans="1:1">
      <c r="A173" s="255">
        <f>IF(ИП!$AG$162="",1,0)</f>
        <v>0</v>
      </c>
    </row>
    <row r="174" spans="1:1">
      <c r="A174" s="255">
        <f>IF(ИП!$H$160="",1,0)</f>
        <v>0</v>
      </c>
    </row>
    <row r="175" spans="1:1">
      <c r="A175" s="255">
        <f>IF(ИП!$Q$161="",1,0)</f>
        <v>1</v>
      </c>
    </row>
    <row r="176" spans="1:1">
      <c r="A176" s="255">
        <f>IF(ИП!$E$166="",1,0)</f>
        <v>0</v>
      </c>
    </row>
    <row r="177" spans="1:1">
      <c r="A177" s="255">
        <f>IF(ИП!$G$166="",1,0)</f>
        <v>0</v>
      </c>
    </row>
    <row r="178" spans="1:1">
      <c r="A178" s="255">
        <f>IF(ИП!$K$166="",1,0)</f>
        <v>0</v>
      </c>
    </row>
    <row r="179" spans="1:1">
      <c r="A179" s="255">
        <f>IF(ИП!$L$166="",1,0)</f>
        <v>0</v>
      </c>
    </row>
    <row r="180" spans="1:1">
      <c r="A180" s="255">
        <f>IF(ИП!$M$166="",1,0)</f>
        <v>0</v>
      </c>
    </row>
    <row r="181" spans="1:1">
      <c r="A181" s="255">
        <f>IF(ИП!$P$167="",1,0)</f>
        <v>0</v>
      </c>
    </row>
    <row r="182" spans="1:1">
      <c r="A182" s="255">
        <f>IF(ИП!$AG$168="",1,0)</f>
        <v>0</v>
      </c>
    </row>
    <row r="183" spans="1:1">
      <c r="A183" s="255">
        <f>IF(ИП!$H$166="",1,0)</f>
        <v>0</v>
      </c>
    </row>
    <row r="184" spans="1:1">
      <c r="A184" s="255">
        <f>IF(ИП!$Q$167="",1,0)</f>
        <v>1</v>
      </c>
    </row>
    <row r="185" spans="1:1">
      <c r="A185" s="255">
        <f>IF(ИП!$E$172="",1,0)</f>
        <v>0</v>
      </c>
    </row>
    <row r="186" spans="1:1">
      <c r="A186" s="255">
        <f>IF(ИП!$G$172="",1,0)</f>
        <v>0</v>
      </c>
    </row>
    <row r="187" spans="1:1">
      <c r="A187" s="255">
        <f>IF(ИП!$K$172="",1,0)</f>
        <v>0</v>
      </c>
    </row>
    <row r="188" spans="1:1">
      <c r="A188" s="255">
        <f>IF(ИП!$L$172="",1,0)</f>
        <v>0</v>
      </c>
    </row>
    <row r="189" spans="1:1">
      <c r="A189" s="255">
        <f>IF(ИП!$M$172="",1,0)</f>
        <v>0</v>
      </c>
    </row>
    <row r="190" spans="1:1">
      <c r="A190" s="255">
        <f>IF(ИП!$P$173="",1,0)</f>
        <v>0</v>
      </c>
    </row>
    <row r="191" spans="1:1">
      <c r="A191" s="255">
        <f>IF(ИП!$AG$174="",1,0)</f>
        <v>0</v>
      </c>
    </row>
    <row r="192" spans="1:1">
      <c r="A192" s="255">
        <f>IF(ИП!$H$172="",1,0)</f>
        <v>0</v>
      </c>
    </row>
    <row r="193" spans="1:1">
      <c r="A193" s="255">
        <f>IF(ИП!$Q$173="",1,0)</f>
        <v>1</v>
      </c>
    </row>
    <row r="194" spans="1:1">
      <c r="A194" s="255">
        <f>IF(ИП!$E$178="",1,0)</f>
        <v>0</v>
      </c>
    </row>
    <row r="195" spans="1:1">
      <c r="A195" s="255">
        <f>IF(ИП!$G$178="",1,0)</f>
        <v>0</v>
      </c>
    </row>
    <row r="196" spans="1:1">
      <c r="A196" s="255">
        <f>IF(ИП!$K$178="",1,0)</f>
        <v>0</v>
      </c>
    </row>
    <row r="197" spans="1:1">
      <c r="A197" s="255">
        <f>IF(ИП!$L$178="",1,0)</f>
        <v>0</v>
      </c>
    </row>
    <row r="198" spans="1:1">
      <c r="A198" s="255">
        <f>IF(ИП!$M$178="",1,0)</f>
        <v>0</v>
      </c>
    </row>
    <row r="199" spans="1:1">
      <c r="A199" s="255">
        <f>IF(ИП!$P$179="",1,0)</f>
        <v>0</v>
      </c>
    </row>
    <row r="200" spans="1:1">
      <c r="A200" s="255">
        <f>IF(ИП!$AG$180="",1,0)</f>
        <v>0</v>
      </c>
    </row>
    <row r="201" spans="1:1">
      <c r="A201" s="255">
        <f>IF(ИП!$H$178="",1,0)</f>
        <v>0</v>
      </c>
    </row>
    <row r="202" spans="1:1">
      <c r="A202" s="255">
        <f>IF(ИП!$Q$179="",1,0)</f>
        <v>1</v>
      </c>
    </row>
    <row r="203" spans="1:1">
      <c r="A203" s="255">
        <f>IF(ИП!$E$184="",1,0)</f>
        <v>0</v>
      </c>
    </row>
    <row r="204" spans="1:1">
      <c r="A204" s="255">
        <f>IF(ИП!$G$184="",1,0)</f>
        <v>0</v>
      </c>
    </row>
    <row r="205" spans="1:1">
      <c r="A205" s="255">
        <f>IF(ИП!$K$184="",1,0)</f>
        <v>0</v>
      </c>
    </row>
    <row r="206" spans="1:1">
      <c r="A206" s="255">
        <f>IF(ИП!$L$184="",1,0)</f>
        <v>0</v>
      </c>
    </row>
    <row r="207" spans="1:1">
      <c r="A207" s="255">
        <f>IF(ИП!$M$184="",1,0)</f>
        <v>0</v>
      </c>
    </row>
    <row r="208" spans="1:1">
      <c r="A208" s="255">
        <f>IF(ИП!$P$185="",1,0)</f>
        <v>0</v>
      </c>
    </row>
    <row r="209" spans="1:1">
      <c r="A209" s="255">
        <f>IF(ИП!$AG$186="",1,0)</f>
        <v>0</v>
      </c>
    </row>
    <row r="210" spans="1:1">
      <c r="A210" s="255">
        <f>IF(ИП!$H$184="",1,0)</f>
        <v>0</v>
      </c>
    </row>
    <row r="211" spans="1:1">
      <c r="A211" s="255">
        <f>IF(ИП!$Q$185="",1,0)</f>
        <v>1</v>
      </c>
    </row>
    <row r="212" spans="1:1">
      <c r="A212" s="255">
        <f>IF(ИП!$E$190="",1,0)</f>
        <v>0</v>
      </c>
    </row>
    <row r="213" spans="1:1">
      <c r="A213" s="255">
        <f>IF(ИП!$G$190="",1,0)</f>
        <v>0</v>
      </c>
    </row>
    <row r="214" spans="1:1">
      <c r="A214" s="255">
        <f>IF(ИП!$K$190="",1,0)</f>
        <v>0</v>
      </c>
    </row>
    <row r="215" spans="1:1">
      <c r="A215" s="255">
        <f>IF(ИП!$L$190="",1,0)</f>
        <v>0</v>
      </c>
    </row>
    <row r="216" spans="1:1">
      <c r="A216" s="255">
        <f>IF(ИП!$M$190="",1,0)</f>
        <v>0</v>
      </c>
    </row>
    <row r="217" spans="1:1">
      <c r="A217" s="255">
        <f>IF(ИП!$P$191="",1,0)</f>
        <v>0</v>
      </c>
    </row>
    <row r="218" spans="1:1">
      <c r="A218" s="255">
        <f>IF(ИП!$AG$192="",1,0)</f>
        <v>0</v>
      </c>
    </row>
    <row r="219" spans="1:1">
      <c r="A219" s="255">
        <f>IF(ИП!$H$190="",1,0)</f>
        <v>0</v>
      </c>
    </row>
    <row r="220" spans="1:1">
      <c r="A220" s="255">
        <f>IF(ИП!$Q$191="",1,0)</f>
        <v>1</v>
      </c>
    </row>
    <row r="221" spans="1:1">
      <c r="A221" s="255">
        <f>IF(ИП!$E$196="",1,0)</f>
        <v>0</v>
      </c>
    </row>
    <row r="222" spans="1:1">
      <c r="A222" s="255">
        <f>IF(ИП!$G$196="",1,0)</f>
        <v>0</v>
      </c>
    </row>
    <row r="223" spans="1:1">
      <c r="A223" s="255">
        <f>IF(ИП!$K$196="",1,0)</f>
        <v>0</v>
      </c>
    </row>
    <row r="224" spans="1:1">
      <c r="A224" s="255">
        <f>IF(ИП!$L$196="",1,0)</f>
        <v>0</v>
      </c>
    </row>
    <row r="225" spans="1:1">
      <c r="A225" s="255">
        <f>IF(ИП!$M$196="",1,0)</f>
        <v>0</v>
      </c>
    </row>
    <row r="226" spans="1:1">
      <c r="A226" s="255">
        <f>IF(ИП!$P$197="",1,0)</f>
        <v>0</v>
      </c>
    </row>
    <row r="227" spans="1:1">
      <c r="A227" s="255">
        <f>IF(ИП!$AG$198="",1,0)</f>
        <v>0</v>
      </c>
    </row>
    <row r="228" spans="1:1">
      <c r="A228" s="255">
        <f>IF(ИП!$H$196="",1,0)</f>
        <v>0</v>
      </c>
    </row>
    <row r="229" spans="1:1">
      <c r="A229" s="255">
        <f>IF(ИП!$Q$197="",1,0)</f>
        <v>1</v>
      </c>
    </row>
    <row r="230" spans="1:1">
      <c r="A230" s="255">
        <f>IF(ИП!$E$202="",1,0)</f>
        <v>0</v>
      </c>
    </row>
    <row r="231" spans="1:1">
      <c r="A231" s="255">
        <f>IF(ИП!$G$202="",1,0)</f>
        <v>0</v>
      </c>
    </row>
    <row r="232" spans="1:1">
      <c r="A232" s="255">
        <f>IF(ИП!$K$202="",1,0)</f>
        <v>0</v>
      </c>
    </row>
    <row r="233" spans="1:1">
      <c r="A233" s="255">
        <f>IF(ИП!$L$202="",1,0)</f>
        <v>0</v>
      </c>
    </row>
    <row r="234" spans="1:1">
      <c r="A234" s="255">
        <f>IF(ИП!$M$202="",1,0)</f>
        <v>0</v>
      </c>
    </row>
    <row r="235" spans="1:1">
      <c r="A235" s="255">
        <f>IF(ИП!$P$203="",1,0)</f>
        <v>0</v>
      </c>
    </row>
    <row r="236" spans="1:1">
      <c r="A236" s="255">
        <f>IF(ИП!$AG$204="",1,0)</f>
        <v>0</v>
      </c>
    </row>
    <row r="237" spans="1:1">
      <c r="A237" s="255">
        <f>IF(ИП!$H$202="",1,0)</f>
        <v>0</v>
      </c>
    </row>
    <row r="238" spans="1:1">
      <c r="A238" s="255">
        <f>IF(ИП!$Q$203="",1,0)</f>
        <v>1</v>
      </c>
    </row>
    <row r="239" spans="1:1">
      <c r="A239" s="255">
        <f>IF(ИП!$E$208="",1,0)</f>
        <v>0</v>
      </c>
    </row>
    <row r="240" spans="1:1">
      <c r="A240" s="255">
        <f>IF(ИП!$G$208="",1,0)</f>
        <v>0</v>
      </c>
    </row>
    <row r="241" spans="1:1">
      <c r="A241" s="255">
        <f>IF(ИП!$K$208="",1,0)</f>
        <v>0</v>
      </c>
    </row>
    <row r="242" spans="1:1">
      <c r="A242" s="255">
        <f>IF(ИП!$L$208="",1,0)</f>
        <v>0</v>
      </c>
    </row>
    <row r="243" spans="1:1">
      <c r="A243" s="255">
        <f>IF(ИП!$M$208="",1,0)</f>
        <v>0</v>
      </c>
    </row>
    <row r="244" spans="1:1">
      <c r="A244" s="255">
        <f>IF(ИП!$P$209="",1,0)</f>
        <v>0</v>
      </c>
    </row>
    <row r="245" spans="1:1">
      <c r="A245" s="255">
        <f>IF(ИП!$AG$210="",1,0)</f>
        <v>0</v>
      </c>
    </row>
    <row r="246" spans="1:1">
      <c r="A246" s="255">
        <f>IF(ИП!$H$208="",1,0)</f>
        <v>0</v>
      </c>
    </row>
    <row r="247" spans="1:1">
      <c r="A247" s="255">
        <f>IF(ИП!$Q$209="",1,0)</f>
        <v>1</v>
      </c>
    </row>
    <row r="248" spans="1:1">
      <c r="A248" s="255">
        <f>IF(ИП!$E$214="",1,0)</f>
        <v>0</v>
      </c>
    </row>
    <row r="249" spans="1:1">
      <c r="A249" s="255">
        <f>IF(ИП!$G$214="",1,0)</f>
        <v>0</v>
      </c>
    </row>
    <row r="250" spans="1:1">
      <c r="A250" s="255">
        <f>IF(ИП!$K$214="",1,0)</f>
        <v>0</v>
      </c>
    </row>
    <row r="251" spans="1:1">
      <c r="A251" s="255">
        <f>IF(ИП!$L$214="",1,0)</f>
        <v>0</v>
      </c>
    </row>
    <row r="252" spans="1:1">
      <c r="A252" s="255">
        <f>IF(ИП!$M$214="",1,0)</f>
        <v>0</v>
      </c>
    </row>
    <row r="253" spans="1:1">
      <c r="A253" s="255">
        <f>IF(ИП!$P$215="",1,0)</f>
        <v>0</v>
      </c>
    </row>
    <row r="254" spans="1:1">
      <c r="A254" s="255">
        <f>IF(ИП!$AG$216="",1,0)</f>
        <v>0</v>
      </c>
    </row>
    <row r="255" spans="1:1">
      <c r="A255" s="255">
        <f>IF(ИП!$H$214="",1,0)</f>
        <v>0</v>
      </c>
    </row>
    <row r="256" spans="1:1">
      <c r="A256" s="255">
        <f>IF(ИП!$Q$215="",1,0)</f>
        <v>1</v>
      </c>
    </row>
    <row r="257" spans="1:1">
      <c r="A257" s="255">
        <f>IF(ИП!$E$220="",1,0)</f>
        <v>0</v>
      </c>
    </row>
    <row r="258" spans="1:1">
      <c r="A258" s="255">
        <f>IF(ИП!$G$220="",1,0)</f>
        <v>0</v>
      </c>
    </row>
    <row r="259" spans="1:1">
      <c r="A259" s="255">
        <f>IF(ИП!$K$220="",1,0)</f>
        <v>0</v>
      </c>
    </row>
    <row r="260" spans="1:1">
      <c r="A260" s="255">
        <f>IF(ИП!$L$220="",1,0)</f>
        <v>0</v>
      </c>
    </row>
    <row r="261" spans="1:1">
      <c r="A261" s="255">
        <f>IF(ИП!$M$220="",1,0)</f>
        <v>0</v>
      </c>
    </row>
    <row r="262" spans="1:1">
      <c r="A262" s="255">
        <f>IF(ИП!$P$221="",1,0)</f>
        <v>0</v>
      </c>
    </row>
    <row r="263" spans="1:1">
      <c r="A263" s="255">
        <f>IF(ИП!$AG$222="",1,0)</f>
        <v>0</v>
      </c>
    </row>
    <row r="264" spans="1:1">
      <c r="A264" s="255">
        <f>IF(ИП!$H$220="",1,0)</f>
        <v>0</v>
      </c>
    </row>
    <row r="265" spans="1:1">
      <c r="A265" s="255">
        <f>IF(ИП!$Q$221="",1,0)</f>
        <v>1</v>
      </c>
    </row>
    <row r="266" spans="1:1">
      <c r="A266" s="255">
        <f>IF(ИП!$E$226="",1,0)</f>
        <v>0</v>
      </c>
    </row>
    <row r="267" spans="1:1">
      <c r="A267" s="255">
        <f>IF(ИП!$G$226="",1,0)</f>
        <v>0</v>
      </c>
    </row>
    <row r="268" spans="1:1">
      <c r="A268" s="255">
        <f>IF(ИП!$K$226="",1,0)</f>
        <v>0</v>
      </c>
    </row>
    <row r="269" spans="1:1">
      <c r="A269" s="255">
        <f>IF(ИП!$L$226="",1,0)</f>
        <v>0</v>
      </c>
    </row>
    <row r="270" spans="1:1">
      <c r="A270" s="255">
        <f>IF(ИП!$M$226="",1,0)</f>
        <v>0</v>
      </c>
    </row>
    <row r="271" spans="1:1">
      <c r="A271" s="255">
        <f>IF(ИП!$P$227="",1,0)</f>
        <v>0</v>
      </c>
    </row>
    <row r="272" spans="1:1">
      <c r="A272" s="255">
        <f>IF(ИП!$AG$228="",1,0)</f>
        <v>0</v>
      </c>
    </row>
    <row r="273" spans="1:1">
      <c r="A273" s="255">
        <f>IF(ИП!$H$226="",1,0)</f>
        <v>0</v>
      </c>
    </row>
    <row r="274" spans="1:1">
      <c r="A274" s="255">
        <f>IF(ИП!$Q$227="",1,0)</f>
        <v>1</v>
      </c>
    </row>
    <row r="275" spans="1:1">
      <c r="A275" s="255">
        <f>IF(ИП!$E$232="",1,0)</f>
        <v>0</v>
      </c>
    </row>
    <row r="276" spans="1:1">
      <c r="A276" s="255">
        <f>IF(ИП!$G$232="",1,0)</f>
        <v>0</v>
      </c>
    </row>
    <row r="277" spans="1:1">
      <c r="A277" s="255">
        <f>IF(ИП!$K$232="",1,0)</f>
        <v>0</v>
      </c>
    </row>
    <row r="278" spans="1:1">
      <c r="A278" s="255">
        <f>IF(ИП!$L$232="",1,0)</f>
        <v>0</v>
      </c>
    </row>
    <row r="279" spans="1:1">
      <c r="A279" s="255">
        <f>IF(ИП!$M$232="",1,0)</f>
        <v>0</v>
      </c>
    </row>
    <row r="280" spans="1:1">
      <c r="A280" s="255">
        <f>IF(ИП!$P$233="",1,0)</f>
        <v>0</v>
      </c>
    </row>
    <row r="281" spans="1:1">
      <c r="A281" s="255">
        <f>IF(ИП!$AG$234="",1,0)</f>
        <v>0</v>
      </c>
    </row>
    <row r="282" spans="1:1">
      <c r="A282" s="255">
        <f>IF(ИП!$H$232="",1,0)</f>
        <v>0</v>
      </c>
    </row>
    <row r="283" spans="1:1">
      <c r="A283" s="255">
        <f>IF(ИП!$Q$233="",1,0)</f>
        <v>1</v>
      </c>
    </row>
    <row r="284" spans="1:1">
      <c r="A284" s="255">
        <f>IF(ИП!$E$238="",1,0)</f>
        <v>0</v>
      </c>
    </row>
    <row r="285" spans="1:1">
      <c r="A285" s="255">
        <f>IF(ИП!$G$238="",1,0)</f>
        <v>0</v>
      </c>
    </row>
    <row r="286" spans="1:1">
      <c r="A286" s="255">
        <f>IF(ИП!$K$238="",1,0)</f>
        <v>0</v>
      </c>
    </row>
    <row r="287" spans="1:1">
      <c r="A287" s="255">
        <f>IF(ИП!$L$238="",1,0)</f>
        <v>0</v>
      </c>
    </row>
    <row r="288" spans="1:1">
      <c r="A288" s="255">
        <f>IF(ИП!$M$238="",1,0)</f>
        <v>0</v>
      </c>
    </row>
    <row r="289" spans="1:1">
      <c r="A289" s="255">
        <f>IF(ИП!$P$239="",1,0)</f>
        <v>0</v>
      </c>
    </row>
    <row r="290" spans="1:1">
      <c r="A290" s="255">
        <f>IF(ИП!$AG$240="",1,0)</f>
        <v>0</v>
      </c>
    </row>
    <row r="291" spans="1:1">
      <c r="A291" s="255">
        <f>IF(ИП!$H$238="",1,0)</f>
        <v>0</v>
      </c>
    </row>
    <row r="292" spans="1:1">
      <c r="A292" s="255">
        <f>IF(ИП!$Q$239="",1,0)</f>
        <v>1</v>
      </c>
    </row>
    <row r="293" spans="1:1">
      <c r="A293" s="255">
        <f>IF(ИП!$E$244="",1,0)</f>
        <v>0</v>
      </c>
    </row>
    <row r="294" spans="1:1">
      <c r="A294" s="255">
        <f>IF(ИП!$G$244="",1,0)</f>
        <v>0</v>
      </c>
    </row>
    <row r="295" spans="1:1">
      <c r="A295" s="255">
        <f>IF(ИП!$K$244="",1,0)</f>
        <v>0</v>
      </c>
    </row>
    <row r="296" spans="1:1">
      <c r="A296" s="255">
        <f>IF(ИП!$L$244="",1,0)</f>
        <v>0</v>
      </c>
    </row>
    <row r="297" spans="1:1">
      <c r="A297" s="255">
        <f>IF(ИП!$M$244="",1,0)</f>
        <v>0</v>
      </c>
    </row>
    <row r="298" spans="1:1">
      <c r="A298" s="255">
        <f>IF(ИП!$P$245="",1,0)</f>
        <v>0</v>
      </c>
    </row>
    <row r="299" spans="1:1">
      <c r="A299" s="255">
        <f>IF(ИП!$AG$246="",1,0)</f>
        <v>0</v>
      </c>
    </row>
    <row r="300" spans="1:1">
      <c r="A300" s="255">
        <f>IF(ИП!$H$244="",1,0)</f>
        <v>0</v>
      </c>
    </row>
    <row r="301" spans="1:1">
      <c r="A301" s="255">
        <f>IF(ИП!$Q$245="",1,0)</f>
        <v>1</v>
      </c>
    </row>
    <row r="302" spans="1:1">
      <c r="A302" s="255">
        <f>IF(ИП!$AG$163="",1,0)</f>
        <v>0</v>
      </c>
    </row>
    <row r="303" spans="1:1">
      <c r="A303" s="255">
        <f>IF(ИП!$AG$169="",1,0)</f>
        <v>0</v>
      </c>
    </row>
    <row r="304" spans="1:1">
      <c r="A304" s="255">
        <f>IF(ИП!$AG$175="",1,0)</f>
        <v>0</v>
      </c>
    </row>
    <row r="305" spans="1:1">
      <c r="A305" s="255">
        <f>IF(ИП!$AG$181="",1,0)</f>
        <v>0</v>
      </c>
    </row>
    <row r="306" spans="1:1">
      <c r="A306" s="255">
        <f>IF(ИП!$AG$187="",1,0)</f>
        <v>0</v>
      </c>
    </row>
    <row r="307" spans="1:1">
      <c r="A307" s="255">
        <f>IF(ИП!$AG$193="",1,0)</f>
        <v>0</v>
      </c>
    </row>
    <row r="308" spans="1:1">
      <c r="A308" s="255">
        <f>IF(ИП!$AG$199="",1,0)</f>
        <v>0</v>
      </c>
    </row>
    <row r="309" spans="1:1">
      <c r="A309" s="255">
        <f>IF(ИП!$AG$205="",1,0)</f>
        <v>0</v>
      </c>
    </row>
    <row r="310" spans="1:1">
      <c r="A310" s="255">
        <f>IF(ИП!$AG$211="",1,0)</f>
        <v>0</v>
      </c>
    </row>
    <row r="311" spans="1:1">
      <c r="A311" s="255">
        <f>IF(ИП!$AG$217="",1,0)</f>
        <v>0</v>
      </c>
    </row>
    <row r="312" spans="1:1">
      <c r="A312" s="255">
        <f>IF(ИП!$AG$223="",1,0)</f>
        <v>0</v>
      </c>
    </row>
    <row r="313" spans="1:1">
      <c r="A313" s="255">
        <f>IF(ИП!$AG$229="",1,0)</f>
        <v>0</v>
      </c>
    </row>
    <row r="314" spans="1:1">
      <c r="A314" s="255">
        <f>IF(ИП!$AG$235="",1,0)</f>
        <v>0</v>
      </c>
    </row>
    <row r="315" spans="1:1">
      <c r="A315" s="255">
        <f>IF(ИП!$AG$241="",1,0)</f>
        <v>0</v>
      </c>
    </row>
    <row r="316" spans="1:1">
      <c r="A316" s="255">
        <f>IF(ИП!$AG$247="",1,0)</f>
        <v>0</v>
      </c>
    </row>
    <row r="317" spans="1:1">
      <c r="A317" s="255">
        <f>IF(ИП!$E$250="",1,0)</f>
        <v>0</v>
      </c>
    </row>
    <row r="318" spans="1:1">
      <c r="A318" s="255">
        <f>IF(ИП!$G$250="",1,0)</f>
        <v>0</v>
      </c>
    </row>
    <row r="319" spans="1:1">
      <c r="A319" s="255">
        <f>IF(ИП!$K$250="",1,0)</f>
        <v>0</v>
      </c>
    </row>
    <row r="320" spans="1:1">
      <c r="A320" s="255">
        <f>IF(ИП!$L$250="",1,0)</f>
        <v>0</v>
      </c>
    </row>
    <row r="321" spans="1:1">
      <c r="A321" s="255">
        <f>IF(ИП!$M$250="",1,0)</f>
        <v>0</v>
      </c>
    </row>
    <row r="322" spans="1:1">
      <c r="A322" s="255">
        <f>IF(ИП!$P$251="",1,0)</f>
        <v>0</v>
      </c>
    </row>
    <row r="323" spans="1:1">
      <c r="A323" s="255">
        <f>IF(ИП!$AG$252="",1,0)</f>
        <v>0</v>
      </c>
    </row>
    <row r="324" spans="1:1">
      <c r="A324" s="255">
        <f>IF(ИП!$H$250="",1,0)</f>
        <v>0</v>
      </c>
    </row>
    <row r="325" spans="1:1">
      <c r="A325" s="255">
        <f>IF(ИП!$Q$251="",1,0)</f>
        <v>1</v>
      </c>
    </row>
    <row r="326" spans="1:1">
      <c r="A326" s="255">
        <f>IF(ИП!$AG$253="",1,0)</f>
        <v>0</v>
      </c>
    </row>
    <row r="327" spans="1:1">
      <c r="A327" s="255">
        <f>IF(ИП!$E$256="",1,0)</f>
        <v>0</v>
      </c>
    </row>
    <row r="328" spans="1:1">
      <c r="A328" s="255">
        <f>IF(ИП!$G$256="",1,0)</f>
        <v>0</v>
      </c>
    </row>
    <row r="329" spans="1:1">
      <c r="A329" s="255">
        <f>IF(ИП!$K$256="",1,0)</f>
        <v>0</v>
      </c>
    </row>
    <row r="330" spans="1:1">
      <c r="A330" s="255">
        <f>IF(ИП!$L$256="",1,0)</f>
        <v>0</v>
      </c>
    </row>
    <row r="331" spans="1:1">
      <c r="A331" s="255">
        <f>IF(ИП!$M$256="",1,0)</f>
        <v>0</v>
      </c>
    </row>
    <row r="332" spans="1:1">
      <c r="A332" s="255">
        <f>IF(ИП!$P$257="",1,0)</f>
        <v>0</v>
      </c>
    </row>
    <row r="333" spans="1:1">
      <c r="A333" s="255">
        <f>IF(ИП!$AG$258="",1,0)</f>
        <v>0</v>
      </c>
    </row>
    <row r="334" spans="1:1">
      <c r="A334" s="255">
        <f>IF(ИП!$H$256="",1,0)</f>
        <v>0</v>
      </c>
    </row>
    <row r="335" spans="1:1">
      <c r="A335" s="255">
        <f>IF(ИП!$Q$257="",1,0)</f>
        <v>1</v>
      </c>
    </row>
    <row r="336" spans="1:1">
      <c r="A336" s="255">
        <f>IF(ИП!$AG$259="",1,0)</f>
        <v>0</v>
      </c>
    </row>
    <row r="337" spans="1:1">
      <c r="A337" s="255">
        <f>IF(ИП!$E$262="",1,0)</f>
        <v>0</v>
      </c>
    </row>
    <row r="338" spans="1:1">
      <c r="A338" s="255">
        <f>IF(ИП!$G$262="",1,0)</f>
        <v>0</v>
      </c>
    </row>
    <row r="339" spans="1:1">
      <c r="A339" s="255">
        <f>IF(ИП!$K$262="",1,0)</f>
        <v>0</v>
      </c>
    </row>
    <row r="340" spans="1:1">
      <c r="A340" s="255">
        <f>IF(ИП!$L$262="",1,0)</f>
        <v>0</v>
      </c>
    </row>
    <row r="341" spans="1:1">
      <c r="A341" s="255">
        <f>IF(ИП!$M$262="",1,0)</f>
        <v>0</v>
      </c>
    </row>
    <row r="342" spans="1:1">
      <c r="A342" s="255">
        <f>IF(ИП!$P$263="",1,0)</f>
        <v>0</v>
      </c>
    </row>
    <row r="343" spans="1:1">
      <c r="A343" s="255">
        <f>IF(ИП!$AG$264="",1,0)</f>
        <v>0</v>
      </c>
    </row>
    <row r="344" spans="1:1">
      <c r="A344" s="255">
        <f>IF(ИП!$H$262="",1,0)</f>
        <v>0</v>
      </c>
    </row>
    <row r="345" spans="1:1">
      <c r="A345" s="255">
        <f>IF(ИП!$Q$263="",1,0)</f>
        <v>1</v>
      </c>
    </row>
    <row r="346" spans="1:1">
      <c r="A346" s="255">
        <f>IF(ИП!$AG$265="",1,0)</f>
        <v>0</v>
      </c>
    </row>
    <row r="347" spans="1:1">
      <c r="A347" s="255">
        <f>IF(ИП!$E$268="",1,0)</f>
        <v>0</v>
      </c>
    </row>
    <row r="348" spans="1:1">
      <c r="A348" s="255">
        <f>IF(ИП!$G$268="",1,0)</f>
        <v>0</v>
      </c>
    </row>
    <row r="349" spans="1:1">
      <c r="A349" s="255">
        <f>IF(ИП!$K$268="",1,0)</f>
        <v>0</v>
      </c>
    </row>
    <row r="350" spans="1:1">
      <c r="A350" s="255">
        <f>IF(ИП!$L$268="",1,0)</f>
        <v>0</v>
      </c>
    </row>
    <row r="351" spans="1:1">
      <c r="A351" s="255">
        <f>IF(ИП!$M$268="",1,0)</f>
        <v>0</v>
      </c>
    </row>
    <row r="352" spans="1:1">
      <c r="A352" s="255">
        <f>IF(ИП!$P$269="",1,0)</f>
        <v>0</v>
      </c>
    </row>
    <row r="353" spans="1:1">
      <c r="A353" s="255">
        <f>IF(ИП!$AG$270="",1,0)</f>
        <v>0</v>
      </c>
    </row>
    <row r="354" spans="1:1">
      <c r="A354" s="255">
        <f>IF(ИП!$H$268="",1,0)</f>
        <v>0</v>
      </c>
    </row>
    <row r="355" spans="1:1">
      <c r="A355" s="255">
        <f>IF(ИП!$Q$269="",1,0)</f>
        <v>1</v>
      </c>
    </row>
    <row r="356" spans="1:1">
      <c r="A356" s="255">
        <f>IF(ИП!$E$274="",1,0)</f>
        <v>0</v>
      </c>
    </row>
    <row r="357" spans="1:1">
      <c r="A357" s="255">
        <f>IF(ИП!$G$274="",1,0)</f>
        <v>0</v>
      </c>
    </row>
    <row r="358" spans="1:1">
      <c r="A358" s="255">
        <f>IF(ИП!$K$274="",1,0)</f>
        <v>0</v>
      </c>
    </row>
    <row r="359" spans="1:1">
      <c r="A359" s="255">
        <f>IF(ИП!$L$274="",1,0)</f>
        <v>0</v>
      </c>
    </row>
    <row r="360" spans="1:1">
      <c r="A360" s="255">
        <f>IF(ИП!$M$274="",1,0)</f>
        <v>0</v>
      </c>
    </row>
    <row r="361" spans="1:1">
      <c r="A361" s="255">
        <f>IF(ИП!$P$275="",1,0)</f>
        <v>0</v>
      </c>
    </row>
    <row r="362" spans="1:1">
      <c r="A362" s="255">
        <f>IF(ИП!$AG$276="",1,0)</f>
        <v>0</v>
      </c>
    </row>
    <row r="363" spans="1:1">
      <c r="A363" s="255">
        <f>IF(ИП!$H$274="",1,0)</f>
        <v>0</v>
      </c>
    </row>
    <row r="364" spans="1:1">
      <c r="A364" s="255">
        <f>IF(ИП!$Q$275="",1,0)</f>
        <v>1</v>
      </c>
    </row>
    <row r="365" spans="1:1">
      <c r="A365" s="255">
        <f>IF(ИП!$E$280="",1,0)</f>
        <v>0</v>
      </c>
    </row>
    <row r="366" spans="1:1">
      <c r="A366" s="255">
        <f>IF(ИП!$G$280="",1,0)</f>
        <v>0</v>
      </c>
    </row>
    <row r="367" spans="1:1">
      <c r="A367" s="255">
        <f>IF(ИП!$K$280="",1,0)</f>
        <v>0</v>
      </c>
    </row>
    <row r="368" spans="1:1">
      <c r="A368" s="255">
        <f>IF(ИП!$L$280="",1,0)</f>
        <v>0</v>
      </c>
    </row>
    <row r="369" spans="1:1">
      <c r="A369" s="255">
        <f>IF(ИП!$M$280="",1,0)</f>
        <v>0</v>
      </c>
    </row>
    <row r="370" spans="1:1">
      <c r="A370" s="255">
        <f>IF(ИП!$P$281="",1,0)</f>
        <v>0</v>
      </c>
    </row>
    <row r="371" spans="1:1">
      <c r="A371" s="255">
        <f>IF(ИП!$AG$282="",1,0)</f>
        <v>0</v>
      </c>
    </row>
    <row r="372" spans="1:1">
      <c r="A372" s="255">
        <f>IF(ИП!$H$280="",1,0)</f>
        <v>0</v>
      </c>
    </row>
    <row r="373" spans="1:1">
      <c r="A373" s="255">
        <f>IF(ИП!$Q$281="",1,0)</f>
        <v>1</v>
      </c>
    </row>
    <row r="374" spans="1:1">
      <c r="A374" s="255">
        <f>IF(ИП!$E$286="",1,0)</f>
        <v>0</v>
      </c>
    </row>
    <row r="375" spans="1:1">
      <c r="A375" s="255">
        <f>IF(ИП!$G$286="",1,0)</f>
        <v>0</v>
      </c>
    </row>
    <row r="376" spans="1:1">
      <c r="A376" s="255">
        <f>IF(ИП!$K$286="",1,0)</f>
        <v>0</v>
      </c>
    </row>
    <row r="377" spans="1:1">
      <c r="A377" s="255">
        <f>IF(ИП!$L$286="",1,0)</f>
        <v>0</v>
      </c>
    </row>
    <row r="378" spans="1:1">
      <c r="A378" s="255">
        <f>IF(ИП!$M$286="",1,0)</f>
        <v>0</v>
      </c>
    </row>
    <row r="379" spans="1:1">
      <c r="A379" s="255">
        <f>IF(ИП!$P$287="",1,0)</f>
        <v>0</v>
      </c>
    </row>
    <row r="380" spans="1:1">
      <c r="A380" s="255">
        <f>IF(ИП!$AG$288="",1,0)</f>
        <v>0</v>
      </c>
    </row>
    <row r="381" spans="1:1">
      <c r="A381" s="255">
        <f>IF(ИП!$H$286="",1,0)</f>
        <v>0</v>
      </c>
    </row>
    <row r="382" spans="1:1">
      <c r="A382" s="255">
        <f>IF(ИП!$Q$287="",1,0)</f>
        <v>1</v>
      </c>
    </row>
    <row r="383" spans="1:1">
      <c r="A383" s="255">
        <f>IF(ИП!$E$292="",1,0)</f>
        <v>0</v>
      </c>
    </row>
    <row r="384" spans="1:1">
      <c r="A384" s="255">
        <f>IF(ИП!$G$292="",1,0)</f>
        <v>0</v>
      </c>
    </row>
    <row r="385" spans="1:1">
      <c r="A385" s="255">
        <f>IF(ИП!$K$292="",1,0)</f>
        <v>0</v>
      </c>
    </row>
    <row r="386" spans="1:1">
      <c r="A386" s="255">
        <f>IF(ИП!$L$292="",1,0)</f>
        <v>0</v>
      </c>
    </row>
    <row r="387" spans="1:1">
      <c r="A387" s="255">
        <f>IF(ИП!$M$292="",1,0)</f>
        <v>0</v>
      </c>
    </row>
    <row r="388" spans="1:1">
      <c r="A388" s="255">
        <f>IF(ИП!$P$293="",1,0)</f>
        <v>0</v>
      </c>
    </row>
    <row r="389" spans="1:1">
      <c r="A389" s="255">
        <f>IF(ИП!$AG$294="",1,0)</f>
        <v>0</v>
      </c>
    </row>
    <row r="390" spans="1:1">
      <c r="A390" s="255">
        <f>IF(ИП!$H$292="",1,0)</f>
        <v>0</v>
      </c>
    </row>
    <row r="391" spans="1:1">
      <c r="A391" s="255">
        <f>IF(ИП!$Q$293="",1,0)</f>
        <v>1</v>
      </c>
    </row>
    <row r="392" spans="1:1">
      <c r="A392" s="255">
        <f>IF(ИП!$E$298="",1,0)</f>
        <v>0</v>
      </c>
    </row>
    <row r="393" spans="1:1">
      <c r="A393" s="255">
        <f>IF(ИП!$G$298="",1,0)</f>
        <v>0</v>
      </c>
    </row>
    <row r="394" spans="1:1">
      <c r="A394" s="255">
        <f>IF(ИП!$K$298="",1,0)</f>
        <v>0</v>
      </c>
    </row>
    <row r="395" spans="1:1">
      <c r="A395" s="255">
        <f>IF(ИП!$L$298="",1,0)</f>
        <v>0</v>
      </c>
    </row>
    <row r="396" spans="1:1">
      <c r="A396" s="255">
        <f>IF(ИП!$M$298="",1,0)</f>
        <v>0</v>
      </c>
    </row>
    <row r="397" spans="1:1">
      <c r="A397" s="255">
        <f>IF(ИП!$P$299="",1,0)</f>
        <v>0</v>
      </c>
    </row>
    <row r="398" spans="1:1">
      <c r="A398" s="255">
        <f>IF(ИП!$AG$300="",1,0)</f>
        <v>0</v>
      </c>
    </row>
    <row r="399" spans="1:1">
      <c r="A399" s="255">
        <f>IF(ИП!$H$298="",1,0)</f>
        <v>0</v>
      </c>
    </row>
    <row r="400" spans="1:1">
      <c r="A400" s="255">
        <f>IF(ИП!$Q$299="",1,0)</f>
        <v>1</v>
      </c>
    </row>
    <row r="401" spans="1:1">
      <c r="A401" s="255">
        <f>IF(ИП!$E$304="",1,0)</f>
        <v>0</v>
      </c>
    </row>
    <row r="402" spans="1:1">
      <c r="A402" s="255">
        <f>IF(ИП!$G$304="",1,0)</f>
        <v>0</v>
      </c>
    </row>
    <row r="403" spans="1:1">
      <c r="A403" s="255">
        <f>IF(ИП!$K$304="",1,0)</f>
        <v>0</v>
      </c>
    </row>
    <row r="404" spans="1:1">
      <c r="A404" s="255">
        <f>IF(ИП!$L$304="",1,0)</f>
        <v>0</v>
      </c>
    </row>
    <row r="405" spans="1:1">
      <c r="A405" s="255">
        <f>IF(ИП!$M$304="",1,0)</f>
        <v>0</v>
      </c>
    </row>
    <row r="406" spans="1:1">
      <c r="A406" s="255">
        <f>IF(ИП!$P$305="",1,0)</f>
        <v>0</v>
      </c>
    </row>
    <row r="407" spans="1:1">
      <c r="A407" s="255">
        <f>IF(ИП!$AG$306="",1,0)</f>
        <v>0</v>
      </c>
    </row>
    <row r="408" spans="1:1">
      <c r="A408" s="255">
        <f>IF(ИП!$H$304="",1,0)</f>
        <v>0</v>
      </c>
    </row>
    <row r="409" spans="1:1">
      <c r="A409" s="255">
        <f>IF(ИП!$Q$305="",1,0)</f>
        <v>1</v>
      </c>
    </row>
    <row r="410" spans="1:1">
      <c r="A410" s="255">
        <f>IF(ИП!$E$310="",1,0)</f>
        <v>0</v>
      </c>
    </row>
    <row r="411" spans="1:1">
      <c r="A411" s="255">
        <f>IF(ИП!$G$310="",1,0)</f>
        <v>0</v>
      </c>
    </row>
    <row r="412" spans="1:1">
      <c r="A412" s="255">
        <f>IF(ИП!$K$310="",1,0)</f>
        <v>0</v>
      </c>
    </row>
    <row r="413" spans="1:1">
      <c r="A413" s="255">
        <f>IF(ИП!$L$310="",1,0)</f>
        <v>0</v>
      </c>
    </row>
    <row r="414" spans="1:1">
      <c r="A414" s="255">
        <f>IF(ИП!$M$310="",1,0)</f>
        <v>0</v>
      </c>
    </row>
    <row r="415" spans="1:1">
      <c r="A415" s="255">
        <f>IF(ИП!$P$311="",1,0)</f>
        <v>0</v>
      </c>
    </row>
    <row r="416" spans="1:1">
      <c r="A416" s="255">
        <f>IF(ИП!$AG$312="",1,0)</f>
        <v>0</v>
      </c>
    </row>
    <row r="417" spans="1:1">
      <c r="A417" s="255">
        <f>IF(ИП!$H$310="",1,0)</f>
        <v>0</v>
      </c>
    </row>
    <row r="418" spans="1:1">
      <c r="A418" s="255">
        <f>IF(ИП!$Q$311="",1,0)</f>
        <v>1</v>
      </c>
    </row>
    <row r="419" spans="1:1">
      <c r="A419" s="255">
        <f>IF(ИП!$E$316="",1,0)</f>
        <v>0</v>
      </c>
    </row>
    <row r="420" spans="1:1">
      <c r="A420" s="255">
        <f>IF(ИП!$G$316="",1,0)</f>
        <v>0</v>
      </c>
    </row>
    <row r="421" spans="1:1">
      <c r="A421" s="255">
        <f>IF(ИП!$K$316="",1,0)</f>
        <v>0</v>
      </c>
    </row>
    <row r="422" spans="1:1">
      <c r="A422" s="255">
        <f>IF(ИП!$L$316="",1,0)</f>
        <v>0</v>
      </c>
    </row>
    <row r="423" spans="1:1">
      <c r="A423" s="255">
        <f>IF(ИП!$M$316="",1,0)</f>
        <v>0</v>
      </c>
    </row>
    <row r="424" spans="1:1">
      <c r="A424" s="255">
        <f>IF(ИП!$P$317="",1,0)</f>
        <v>0</v>
      </c>
    </row>
    <row r="425" spans="1:1">
      <c r="A425" s="255">
        <f>IF(ИП!$AG$318="",1,0)</f>
        <v>0</v>
      </c>
    </row>
    <row r="426" spans="1:1">
      <c r="A426" s="255">
        <f>IF(ИП!$H$316="",1,0)</f>
        <v>0</v>
      </c>
    </row>
    <row r="427" spans="1:1">
      <c r="A427" s="255">
        <f>IF(ИП!$Q$317="",1,0)</f>
        <v>1</v>
      </c>
    </row>
    <row r="428" spans="1:1">
      <c r="A428" s="255">
        <f>IF(ИП!$E$322="",1,0)</f>
        <v>0</v>
      </c>
    </row>
    <row r="429" spans="1:1">
      <c r="A429" s="255">
        <f>IF(ИП!$G$322="",1,0)</f>
        <v>0</v>
      </c>
    </row>
    <row r="430" spans="1:1">
      <c r="A430" s="255">
        <f>IF(ИП!$K$322="",1,0)</f>
        <v>0</v>
      </c>
    </row>
    <row r="431" spans="1:1">
      <c r="A431" s="255">
        <f>IF(ИП!$L$322="",1,0)</f>
        <v>0</v>
      </c>
    </row>
    <row r="432" spans="1:1">
      <c r="A432" s="255">
        <f>IF(ИП!$M$322="",1,0)</f>
        <v>0</v>
      </c>
    </row>
    <row r="433" spans="1:1">
      <c r="A433" s="255">
        <f>IF(ИП!$P$323="",1,0)</f>
        <v>0</v>
      </c>
    </row>
    <row r="434" spans="1:1">
      <c r="A434" s="255">
        <f>IF(ИП!$AG$324="",1,0)</f>
        <v>0</v>
      </c>
    </row>
    <row r="435" spans="1:1">
      <c r="A435" s="255">
        <f>IF(ИП!$H$322="",1,0)</f>
        <v>0</v>
      </c>
    </row>
    <row r="436" spans="1:1">
      <c r="A436" s="255">
        <f>IF(ИП!$Q$323="",1,0)</f>
        <v>1</v>
      </c>
    </row>
    <row r="437" spans="1:1">
      <c r="A437" s="255">
        <f>IF(ИП!$E$328="",1,0)</f>
        <v>0</v>
      </c>
    </row>
    <row r="438" spans="1:1">
      <c r="A438" s="255">
        <f>IF(ИП!$G$328="",1,0)</f>
        <v>0</v>
      </c>
    </row>
    <row r="439" spans="1:1">
      <c r="A439" s="255">
        <f>IF(ИП!$K$328="",1,0)</f>
        <v>0</v>
      </c>
    </row>
    <row r="440" spans="1:1">
      <c r="A440" s="255">
        <f>IF(ИП!$L$328="",1,0)</f>
        <v>0</v>
      </c>
    </row>
    <row r="441" spans="1:1">
      <c r="A441" s="255">
        <f>IF(ИП!$M$328="",1,0)</f>
        <v>0</v>
      </c>
    </row>
    <row r="442" spans="1:1">
      <c r="A442" s="255">
        <f>IF(ИП!$P$329="",1,0)</f>
        <v>0</v>
      </c>
    </row>
    <row r="443" spans="1:1">
      <c r="A443" s="255">
        <f>IF(ИП!$AG$330="",1,0)</f>
        <v>0</v>
      </c>
    </row>
    <row r="444" spans="1:1">
      <c r="A444" s="255">
        <f>IF(ИП!$H$328="",1,0)</f>
        <v>0</v>
      </c>
    </row>
    <row r="445" spans="1:1">
      <c r="A445" s="255">
        <f>IF(ИП!$Q$329="",1,0)</f>
        <v>1</v>
      </c>
    </row>
    <row r="446" spans="1:1">
      <c r="A446" s="255">
        <f>IF(ИП!$E$334="",1,0)</f>
        <v>0</v>
      </c>
    </row>
    <row r="447" spans="1:1">
      <c r="A447" s="255">
        <f>IF(ИП!$G$334="",1,0)</f>
        <v>0</v>
      </c>
    </row>
    <row r="448" spans="1:1">
      <c r="A448" s="255">
        <f>IF(ИП!$K$334="",1,0)</f>
        <v>0</v>
      </c>
    </row>
    <row r="449" spans="1:1">
      <c r="A449" s="255">
        <f>IF(ИП!$L$334="",1,0)</f>
        <v>0</v>
      </c>
    </row>
    <row r="450" spans="1:1">
      <c r="A450" s="255">
        <f>IF(ИП!$M$334="",1,0)</f>
        <v>0</v>
      </c>
    </row>
    <row r="451" spans="1:1">
      <c r="A451" s="255">
        <f>IF(ИП!$P$335="",1,0)</f>
        <v>0</v>
      </c>
    </row>
    <row r="452" spans="1:1">
      <c r="A452" s="255">
        <f>IF(ИП!$AG$336="",1,0)</f>
        <v>0</v>
      </c>
    </row>
    <row r="453" spans="1:1">
      <c r="A453" s="255">
        <f>IF(ИП!$H$334="",1,0)</f>
        <v>0</v>
      </c>
    </row>
    <row r="454" spans="1:1">
      <c r="A454" s="255">
        <f>IF(ИП!$Q$335="",1,0)</f>
        <v>1</v>
      </c>
    </row>
    <row r="455" spans="1:1">
      <c r="A455" s="255">
        <f>IF(ИП!$AG$337="",1,0)</f>
        <v>0</v>
      </c>
    </row>
    <row r="456" spans="1:1">
      <c r="A456" s="255">
        <f>IF(ИП!$AG$331="",1,0)</f>
        <v>0</v>
      </c>
    </row>
    <row r="457" spans="1:1">
      <c r="A457" s="255">
        <f>IF(ИП!$AG$325="",1,0)</f>
        <v>0</v>
      </c>
    </row>
    <row r="458" spans="1:1">
      <c r="A458" s="255">
        <f>IF(ИП!$AG$319="",1,0)</f>
        <v>0</v>
      </c>
    </row>
    <row r="459" spans="1:1">
      <c r="A459" s="255">
        <f>IF(ИП!$AG$313="",1,0)</f>
        <v>0</v>
      </c>
    </row>
    <row r="460" spans="1:1">
      <c r="A460" s="255">
        <f>IF(ИП!$AG$307="",1,0)</f>
        <v>0</v>
      </c>
    </row>
    <row r="461" spans="1:1">
      <c r="A461" s="255">
        <f>IF(ИП!$AG$301="",1,0)</f>
        <v>0</v>
      </c>
    </row>
    <row r="462" spans="1:1">
      <c r="A462" s="255">
        <f>IF(ИП!$AG$295="",1,0)</f>
        <v>0</v>
      </c>
    </row>
    <row r="463" spans="1:1">
      <c r="A463" s="255">
        <f>IF(ИП!$AG$289="",1,0)</f>
        <v>0</v>
      </c>
    </row>
    <row r="464" spans="1:1">
      <c r="A464" s="255">
        <f>IF(ИП!$AG$283="",1,0)</f>
        <v>0</v>
      </c>
    </row>
    <row r="465" spans="1:1">
      <c r="A465" s="255">
        <f>IF(ИП!$AG$277="",1,0)</f>
        <v>0</v>
      </c>
    </row>
    <row r="466" spans="1:1">
      <c r="A466" s="255">
        <f>IF(ИП!$AG$271="",1,0)</f>
        <v>0</v>
      </c>
    </row>
    <row r="467" spans="1:1">
      <c r="A467" s="255">
        <f>IF(ИП!$E$340="",1,0)</f>
        <v>0</v>
      </c>
    </row>
    <row r="468" spans="1:1">
      <c r="A468" s="255">
        <f>IF(ИП!$G$340="",1,0)</f>
        <v>0</v>
      </c>
    </row>
    <row r="469" spans="1:1">
      <c r="A469" s="255">
        <f>IF(ИП!$K$340="",1,0)</f>
        <v>0</v>
      </c>
    </row>
    <row r="470" spans="1:1">
      <c r="A470" s="255">
        <f>IF(ИП!$L$340="",1,0)</f>
        <v>0</v>
      </c>
    </row>
    <row r="471" spans="1:1">
      <c r="A471" s="255">
        <f>IF(ИП!$M$340="",1,0)</f>
        <v>0</v>
      </c>
    </row>
    <row r="472" spans="1:1">
      <c r="A472" s="255">
        <f>IF(ИП!$P$341="",1,0)</f>
        <v>0</v>
      </c>
    </row>
    <row r="473" spans="1:1">
      <c r="A473" s="255">
        <f>IF(ИП!$AG$342="",1,0)</f>
        <v>0</v>
      </c>
    </row>
    <row r="474" spans="1:1">
      <c r="A474" s="255">
        <f>IF(ИП!$H$340="",1,0)</f>
        <v>0</v>
      </c>
    </row>
    <row r="475" spans="1:1">
      <c r="A475" s="255">
        <f>IF(ИП!$Q$341="",1,0)</f>
        <v>1</v>
      </c>
    </row>
    <row r="476" spans="1:1">
      <c r="A476" s="255">
        <f>IF(ИП!$E$346="",1,0)</f>
        <v>0</v>
      </c>
    </row>
    <row r="477" spans="1:1">
      <c r="A477" s="255">
        <f>IF(ИП!$G$346="",1,0)</f>
        <v>0</v>
      </c>
    </row>
    <row r="478" spans="1:1">
      <c r="A478" s="255">
        <f>IF(ИП!$K$346="",1,0)</f>
        <v>0</v>
      </c>
    </row>
    <row r="479" spans="1:1">
      <c r="A479" s="255">
        <f>IF(ИП!$L$346="",1,0)</f>
        <v>0</v>
      </c>
    </row>
    <row r="480" spans="1:1">
      <c r="A480" s="255">
        <f>IF(ИП!$M$346="",1,0)</f>
        <v>0</v>
      </c>
    </row>
    <row r="481" spans="1:1">
      <c r="A481" s="255">
        <f>IF(ИП!$P$347="",1,0)</f>
        <v>0</v>
      </c>
    </row>
    <row r="482" spans="1:1">
      <c r="A482" s="255">
        <f>IF(ИП!$AG$348="",1,0)</f>
        <v>0</v>
      </c>
    </row>
    <row r="483" spans="1:1">
      <c r="A483" s="255">
        <f>IF(ИП!$H$346="",1,0)</f>
        <v>0</v>
      </c>
    </row>
    <row r="484" spans="1:1">
      <c r="A484" s="255">
        <f>IF(ИП!$Q$347="",1,0)</f>
        <v>1</v>
      </c>
    </row>
    <row r="485" spans="1:1">
      <c r="A485" s="255">
        <f>IF(ИП!$E$352="",1,0)</f>
        <v>0</v>
      </c>
    </row>
    <row r="486" spans="1:1">
      <c r="A486" s="255">
        <f>IF(ИП!$G$352="",1,0)</f>
        <v>0</v>
      </c>
    </row>
    <row r="487" spans="1:1">
      <c r="A487" s="255">
        <f>IF(ИП!$K$352="",1,0)</f>
        <v>0</v>
      </c>
    </row>
    <row r="488" spans="1:1">
      <c r="A488" s="255">
        <f>IF(ИП!$L$352="",1,0)</f>
        <v>0</v>
      </c>
    </row>
    <row r="489" spans="1:1">
      <c r="A489" s="255">
        <f>IF(ИП!$M$352="",1,0)</f>
        <v>0</v>
      </c>
    </row>
    <row r="490" spans="1:1">
      <c r="A490" s="255">
        <f>IF(ИП!$P$353="",1,0)</f>
        <v>0</v>
      </c>
    </row>
    <row r="491" spans="1:1">
      <c r="A491" s="255">
        <f>IF(ИП!$AG$354="",1,0)</f>
        <v>0</v>
      </c>
    </row>
    <row r="492" spans="1:1">
      <c r="A492" s="255">
        <f>IF(ИП!$H$352="",1,0)</f>
        <v>0</v>
      </c>
    </row>
    <row r="493" spans="1:1">
      <c r="A493" s="255">
        <f>IF(ИП!$Q$353="",1,0)</f>
        <v>1</v>
      </c>
    </row>
    <row r="494" spans="1:1">
      <c r="A494" s="255">
        <f>IF(ИП!$E$358="",1,0)</f>
        <v>0</v>
      </c>
    </row>
    <row r="495" spans="1:1">
      <c r="A495" s="255">
        <f>IF(ИП!$G$358="",1,0)</f>
        <v>0</v>
      </c>
    </row>
    <row r="496" spans="1:1">
      <c r="A496" s="255">
        <f>IF(ИП!$K$358="",1,0)</f>
        <v>0</v>
      </c>
    </row>
    <row r="497" spans="1:1">
      <c r="A497" s="255">
        <f>IF(ИП!$L$358="",1,0)</f>
        <v>0</v>
      </c>
    </row>
    <row r="498" spans="1:1">
      <c r="A498" s="255">
        <f>IF(ИП!$M$358="",1,0)</f>
        <v>0</v>
      </c>
    </row>
    <row r="499" spans="1:1">
      <c r="A499" s="255">
        <f>IF(ИП!$P$359="",1,0)</f>
        <v>0</v>
      </c>
    </row>
    <row r="500" spans="1:1">
      <c r="A500" s="255">
        <f>IF(ИП!$AG$360="",1,0)</f>
        <v>0</v>
      </c>
    </row>
    <row r="501" spans="1:1">
      <c r="A501" s="255">
        <f>IF(ИП!$H$358="",1,0)</f>
        <v>0</v>
      </c>
    </row>
    <row r="502" spans="1:1">
      <c r="A502" s="255">
        <f>IF(ИП!$Q$359="",1,0)</f>
        <v>1</v>
      </c>
    </row>
    <row r="503" spans="1:1">
      <c r="A503" s="255">
        <f>IF(ИП!$E$364="",1,0)</f>
        <v>0</v>
      </c>
    </row>
    <row r="504" spans="1:1">
      <c r="A504" s="255">
        <f>IF(ИП!$G$364="",1,0)</f>
        <v>0</v>
      </c>
    </row>
    <row r="505" spans="1:1">
      <c r="A505" s="255">
        <f>IF(ИП!$K$364="",1,0)</f>
        <v>0</v>
      </c>
    </row>
    <row r="506" spans="1:1">
      <c r="A506" s="255">
        <f>IF(ИП!$L$364="",1,0)</f>
        <v>0</v>
      </c>
    </row>
    <row r="507" spans="1:1">
      <c r="A507" s="255">
        <f>IF(ИП!$M$364="",1,0)</f>
        <v>0</v>
      </c>
    </row>
    <row r="508" spans="1:1">
      <c r="A508" s="255">
        <f>IF(ИП!$P$365="",1,0)</f>
        <v>0</v>
      </c>
    </row>
    <row r="509" spans="1:1">
      <c r="A509" s="255">
        <f>IF(ИП!$AG$366="",1,0)</f>
        <v>0</v>
      </c>
    </row>
    <row r="510" spans="1:1">
      <c r="A510" s="255">
        <f>IF(ИП!$H$364="",1,0)</f>
        <v>0</v>
      </c>
    </row>
    <row r="511" spans="1:1">
      <c r="A511" s="255">
        <f>IF(ИП!$Q$365="",1,0)</f>
        <v>1</v>
      </c>
    </row>
    <row r="512" spans="1:1">
      <c r="A512" s="255">
        <f>IF(ИП!$E$370="",1,0)</f>
        <v>0</v>
      </c>
    </row>
    <row r="513" spans="1:1">
      <c r="A513" s="255">
        <f>IF(ИП!$G$370="",1,0)</f>
        <v>0</v>
      </c>
    </row>
    <row r="514" spans="1:1">
      <c r="A514" s="255">
        <f>IF(ИП!$K$370="",1,0)</f>
        <v>0</v>
      </c>
    </row>
    <row r="515" spans="1:1">
      <c r="A515" s="255">
        <f>IF(ИП!$L$370="",1,0)</f>
        <v>0</v>
      </c>
    </row>
    <row r="516" spans="1:1">
      <c r="A516" s="255">
        <f>IF(ИП!$M$370="",1,0)</f>
        <v>0</v>
      </c>
    </row>
    <row r="517" spans="1:1">
      <c r="A517" s="255">
        <f>IF(ИП!$P$371="",1,0)</f>
        <v>0</v>
      </c>
    </row>
    <row r="518" spans="1:1">
      <c r="A518" s="255">
        <f>IF(ИП!$AG$372="",1,0)</f>
        <v>0</v>
      </c>
    </row>
    <row r="519" spans="1:1">
      <c r="A519" s="255">
        <f>IF(ИП!$H$370="",1,0)</f>
        <v>0</v>
      </c>
    </row>
    <row r="520" spans="1:1">
      <c r="A520" s="255">
        <f>IF(ИП!$Q$371="",1,0)</f>
        <v>1</v>
      </c>
    </row>
    <row r="521" spans="1:1">
      <c r="A521" s="255">
        <f>IF(ИП!$E$376="",1,0)</f>
        <v>0</v>
      </c>
    </row>
    <row r="522" spans="1:1">
      <c r="A522" s="255">
        <f>IF(ИП!$G$376="",1,0)</f>
        <v>0</v>
      </c>
    </row>
    <row r="523" spans="1:1">
      <c r="A523" s="255">
        <f>IF(ИП!$K$376="",1,0)</f>
        <v>0</v>
      </c>
    </row>
    <row r="524" spans="1:1">
      <c r="A524" s="255">
        <f>IF(ИП!$L$376="",1,0)</f>
        <v>0</v>
      </c>
    </row>
    <row r="525" spans="1:1">
      <c r="A525" s="255">
        <f>IF(ИП!$M$376="",1,0)</f>
        <v>0</v>
      </c>
    </row>
    <row r="526" spans="1:1">
      <c r="A526" s="255">
        <f>IF(ИП!$P$377="",1,0)</f>
        <v>0</v>
      </c>
    </row>
    <row r="527" spans="1:1">
      <c r="A527" s="255">
        <f>IF(ИП!$AG$378="",1,0)</f>
        <v>0</v>
      </c>
    </row>
    <row r="528" spans="1:1">
      <c r="A528" s="255">
        <f>IF(ИП!$H$376="",1,0)</f>
        <v>0</v>
      </c>
    </row>
    <row r="529" spans="1:1">
      <c r="A529" s="255">
        <f>IF(ИП!$Q$377="",1,0)</f>
        <v>1</v>
      </c>
    </row>
    <row r="530" spans="1:1">
      <c r="A530" s="255">
        <f>IF(ИП!$E$382="",1,0)</f>
        <v>0</v>
      </c>
    </row>
    <row r="531" spans="1:1">
      <c r="A531" s="255">
        <f>IF(ИП!$G$382="",1,0)</f>
        <v>0</v>
      </c>
    </row>
    <row r="532" spans="1:1">
      <c r="A532" s="255">
        <f>IF(ИП!$K$382="",1,0)</f>
        <v>0</v>
      </c>
    </row>
    <row r="533" spans="1:1">
      <c r="A533" s="255">
        <f>IF(ИП!$L$382="",1,0)</f>
        <v>0</v>
      </c>
    </row>
    <row r="534" spans="1:1">
      <c r="A534" s="255">
        <f>IF(ИП!$M$382="",1,0)</f>
        <v>0</v>
      </c>
    </row>
    <row r="535" spans="1:1">
      <c r="A535" s="255">
        <f>IF(ИП!$P$383="",1,0)</f>
        <v>0</v>
      </c>
    </row>
    <row r="536" spans="1:1">
      <c r="A536" s="255">
        <f>IF(ИП!$AG$384="",1,0)</f>
        <v>0</v>
      </c>
    </row>
    <row r="537" spans="1:1">
      <c r="A537" s="255">
        <f>IF(ИП!$H$382="",1,0)</f>
        <v>0</v>
      </c>
    </row>
    <row r="538" spans="1:1">
      <c r="A538" s="255">
        <f>IF(ИП!$Q$383="",1,0)</f>
        <v>1</v>
      </c>
    </row>
    <row r="539" spans="1:1">
      <c r="A539" s="255">
        <f>IF(ИП!$E$388="",1,0)</f>
        <v>0</v>
      </c>
    </row>
    <row r="540" spans="1:1">
      <c r="A540" s="255">
        <f>IF(ИП!$G$388="",1,0)</f>
        <v>0</v>
      </c>
    </row>
    <row r="541" spans="1:1">
      <c r="A541" s="255">
        <f>IF(ИП!$K$388="",1,0)</f>
        <v>0</v>
      </c>
    </row>
    <row r="542" spans="1:1">
      <c r="A542" s="255">
        <f>IF(ИП!$L$388="",1,0)</f>
        <v>0</v>
      </c>
    </row>
    <row r="543" spans="1:1">
      <c r="A543" s="255">
        <f>IF(ИП!$M$388="",1,0)</f>
        <v>0</v>
      </c>
    </row>
    <row r="544" spans="1:1">
      <c r="A544" s="255">
        <f>IF(ИП!$P$389="",1,0)</f>
        <v>0</v>
      </c>
    </row>
    <row r="545" spans="1:1">
      <c r="A545" s="255">
        <f>IF(ИП!$AG$390="",1,0)</f>
        <v>0</v>
      </c>
    </row>
    <row r="546" spans="1:1">
      <c r="A546" s="255">
        <f>IF(ИП!$H$388="",1,0)</f>
        <v>0</v>
      </c>
    </row>
    <row r="547" spans="1:1">
      <c r="A547" s="255">
        <f>IF(ИП!$Q$389="",1,0)</f>
        <v>1</v>
      </c>
    </row>
    <row r="548" spans="1:1">
      <c r="A548" s="255">
        <f>IF(ИП!$E$394="",1,0)</f>
        <v>0</v>
      </c>
    </row>
    <row r="549" spans="1:1">
      <c r="A549" s="255">
        <f>IF(ИП!$G$394="",1,0)</f>
        <v>0</v>
      </c>
    </row>
    <row r="550" spans="1:1">
      <c r="A550" s="255">
        <f>IF(ИП!$K$394="",1,0)</f>
        <v>0</v>
      </c>
    </row>
    <row r="551" spans="1:1">
      <c r="A551" s="255">
        <f>IF(ИП!$L$394="",1,0)</f>
        <v>0</v>
      </c>
    </row>
    <row r="552" spans="1:1">
      <c r="A552" s="255">
        <f>IF(ИП!$M$394="",1,0)</f>
        <v>0</v>
      </c>
    </row>
    <row r="553" spans="1:1">
      <c r="A553" s="255">
        <f>IF(ИП!$P$395="",1,0)</f>
        <v>0</v>
      </c>
    </row>
    <row r="554" spans="1:1">
      <c r="A554" s="255">
        <f>IF(ИП!$AG$396="",1,0)</f>
        <v>0</v>
      </c>
    </row>
    <row r="555" spans="1:1">
      <c r="A555" s="255">
        <f>IF(ИП!$H$394="",1,0)</f>
        <v>0</v>
      </c>
    </row>
    <row r="556" spans="1:1">
      <c r="A556" s="255">
        <f>IF(ИП!$Q$395="",1,0)</f>
        <v>1</v>
      </c>
    </row>
    <row r="557" spans="1:1">
      <c r="A557" s="255">
        <f>IF(ИП!$E$400="",1,0)</f>
        <v>0</v>
      </c>
    </row>
    <row r="558" spans="1:1">
      <c r="A558" s="255">
        <f>IF(ИП!$G$400="",1,0)</f>
        <v>0</v>
      </c>
    </row>
    <row r="559" spans="1:1">
      <c r="A559" s="255">
        <f>IF(ИП!$K$400="",1,0)</f>
        <v>0</v>
      </c>
    </row>
    <row r="560" spans="1:1">
      <c r="A560" s="255">
        <f>IF(ИП!$L$400="",1,0)</f>
        <v>0</v>
      </c>
    </row>
    <row r="561" spans="1:1">
      <c r="A561" s="255">
        <f>IF(ИП!$M$400="",1,0)</f>
        <v>0</v>
      </c>
    </row>
    <row r="562" spans="1:1">
      <c r="A562" s="255">
        <f>IF(ИП!$P$401="",1,0)</f>
        <v>0</v>
      </c>
    </row>
    <row r="563" spans="1:1">
      <c r="A563" s="255">
        <f>IF(ИП!$AG$402="",1,0)</f>
        <v>0</v>
      </c>
    </row>
    <row r="564" spans="1:1">
      <c r="A564" s="255">
        <f>IF(ИП!$H$400="",1,0)</f>
        <v>0</v>
      </c>
    </row>
    <row r="565" spans="1:1">
      <c r="A565" s="255">
        <f>IF(ИП!$Q$401="",1,0)</f>
        <v>1</v>
      </c>
    </row>
    <row r="566" spans="1:1">
      <c r="A566" s="255">
        <f>IF(ИП!$E$406="",1,0)</f>
        <v>0</v>
      </c>
    </row>
    <row r="567" spans="1:1">
      <c r="A567" s="255">
        <f>IF(ИП!$G$406="",1,0)</f>
        <v>0</v>
      </c>
    </row>
    <row r="568" spans="1:1">
      <c r="A568" s="255">
        <f>IF(ИП!$K$406="",1,0)</f>
        <v>0</v>
      </c>
    </row>
    <row r="569" spans="1:1">
      <c r="A569" s="255">
        <f>IF(ИП!$L$406="",1,0)</f>
        <v>0</v>
      </c>
    </row>
    <row r="570" spans="1:1">
      <c r="A570" s="255">
        <f>IF(ИП!$M$406="",1,0)</f>
        <v>0</v>
      </c>
    </row>
    <row r="571" spans="1:1">
      <c r="A571" s="255">
        <f>IF(ИП!$P$407="",1,0)</f>
        <v>0</v>
      </c>
    </row>
    <row r="572" spans="1:1">
      <c r="A572" s="255">
        <f>IF(ИП!$AG$408="",1,0)</f>
        <v>0</v>
      </c>
    </row>
    <row r="573" spans="1:1">
      <c r="A573" s="255">
        <f>IF(ИП!$H$406="",1,0)</f>
        <v>0</v>
      </c>
    </row>
    <row r="574" spans="1:1">
      <c r="A574" s="255">
        <f>IF(ИП!$Q$407="",1,0)</f>
        <v>1</v>
      </c>
    </row>
    <row r="575" spans="1:1">
      <c r="A575" s="255">
        <f>IF(ИП!$E$412="",1,0)</f>
        <v>0</v>
      </c>
    </row>
    <row r="576" spans="1:1">
      <c r="A576" s="255">
        <f>IF(ИП!$G$412="",1,0)</f>
        <v>0</v>
      </c>
    </row>
    <row r="577" spans="1:1">
      <c r="A577" s="255">
        <f>IF(ИП!$K$412="",1,0)</f>
        <v>0</v>
      </c>
    </row>
    <row r="578" spans="1:1">
      <c r="A578" s="255">
        <f>IF(ИП!$L$412="",1,0)</f>
        <v>0</v>
      </c>
    </row>
    <row r="579" spans="1:1">
      <c r="A579" s="255">
        <f>IF(ИП!$M$412="",1,0)</f>
        <v>0</v>
      </c>
    </row>
    <row r="580" spans="1:1">
      <c r="A580" s="255">
        <f>IF(ИП!$P$413="",1,0)</f>
        <v>0</v>
      </c>
    </row>
    <row r="581" spans="1:1">
      <c r="A581" s="255">
        <f>IF(ИП!$AG$414="",1,0)</f>
        <v>0</v>
      </c>
    </row>
    <row r="582" spans="1:1">
      <c r="A582" s="255">
        <f>IF(ИП!$H$412="",1,0)</f>
        <v>0</v>
      </c>
    </row>
    <row r="583" spans="1:1">
      <c r="A583" s="255">
        <f>IF(ИП!$Q$413="",1,0)</f>
        <v>1</v>
      </c>
    </row>
    <row r="584" spans="1:1">
      <c r="A584" s="255">
        <f>IF(ИП!$E$418="",1,0)</f>
        <v>0</v>
      </c>
    </row>
    <row r="585" spans="1:1">
      <c r="A585" s="255">
        <f>IF(ИП!$G$418="",1,0)</f>
        <v>0</v>
      </c>
    </row>
    <row r="586" spans="1:1">
      <c r="A586" s="255">
        <f>IF(ИП!$K$418="",1,0)</f>
        <v>0</v>
      </c>
    </row>
    <row r="587" spans="1:1">
      <c r="A587" s="255">
        <f>IF(ИП!$L$418="",1,0)</f>
        <v>0</v>
      </c>
    </row>
    <row r="588" spans="1:1">
      <c r="A588" s="255">
        <f>IF(ИП!$M$418="",1,0)</f>
        <v>0</v>
      </c>
    </row>
    <row r="589" spans="1:1">
      <c r="A589" s="255">
        <f>IF(ИП!$P$419="",1,0)</f>
        <v>0</v>
      </c>
    </row>
    <row r="590" spans="1:1">
      <c r="A590" s="255">
        <f>IF(ИП!$AG$420="",1,0)</f>
        <v>0</v>
      </c>
    </row>
    <row r="591" spans="1:1">
      <c r="A591" s="255">
        <f>IF(ИП!$H$418="",1,0)</f>
        <v>0</v>
      </c>
    </row>
    <row r="592" spans="1:1">
      <c r="A592" s="255">
        <f>IF(ИП!$Q$419="",1,0)</f>
        <v>1</v>
      </c>
    </row>
    <row r="593" spans="1:1">
      <c r="A593" s="255">
        <f>IF(ИП!$E$424="",1,0)</f>
        <v>0</v>
      </c>
    </row>
    <row r="594" spans="1:1">
      <c r="A594" s="255">
        <f>IF(ИП!$G$424="",1,0)</f>
        <v>0</v>
      </c>
    </row>
    <row r="595" spans="1:1">
      <c r="A595" s="255">
        <f>IF(ИП!$K$424="",1,0)</f>
        <v>0</v>
      </c>
    </row>
    <row r="596" spans="1:1">
      <c r="A596" s="255">
        <f>IF(ИП!$L$424="",1,0)</f>
        <v>0</v>
      </c>
    </row>
    <row r="597" spans="1:1">
      <c r="A597" s="255">
        <f>IF(ИП!$M$424="",1,0)</f>
        <v>0</v>
      </c>
    </row>
    <row r="598" spans="1:1">
      <c r="A598" s="255">
        <f>IF(ИП!$P$425="",1,0)</f>
        <v>0</v>
      </c>
    </row>
    <row r="599" spans="1:1">
      <c r="A599" s="255">
        <f>IF(ИП!$AG$426="",1,0)</f>
        <v>0</v>
      </c>
    </row>
    <row r="600" spans="1:1">
      <c r="A600" s="255">
        <f>IF(ИП!$H$424="",1,0)</f>
        <v>0</v>
      </c>
    </row>
    <row r="601" spans="1:1">
      <c r="A601" s="255">
        <f>IF(ИП!$Q$425="",1,0)</f>
        <v>1</v>
      </c>
    </row>
    <row r="602" spans="1:1">
      <c r="A602" s="255">
        <f>IF(ИП!$E$430="",1,0)</f>
        <v>0</v>
      </c>
    </row>
    <row r="603" spans="1:1">
      <c r="A603" s="255">
        <f>IF(ИП!$G$430="",1,0)</f>
        <v>0</v>
      </c>
    </row>
    <row r="604" spans="1:1">
      <c r="A604" s="255">
        <f>IF(ИП!$K$430="",1,0)</f>
        <v>0</v>
      </c>
    </row>
    <row r="605" spans="1:1">
      <c r="A605" s="255">
        <f>IF(ИП!$L$430="",1,0)</f>
        <v>0</v>
      </c>
    </row>
    <row r="606" spans="1:1">
      <c r="A606" s="255">
        <f>IF(ИП!$M$430="",1,0)</f>
        <v>0</v>
      </c>
    </row>
    <row r="607" spans="1:1">
      <c r="A607" s="255">
        <f>IF(ИП!$P$431="",1,0)</f>
        <v>0</v>
      </c>
    </row>
    <row r="608" spans="1:1">
      <c r="A608" s="255">
        <f>IF(ИП!$AG$432="",1,0)</f>
        <v>0</v>
      </c>
    </row>
    <row r="609" spans="1:1">
      <c r="A609" s="255">
        <f>IF(ИП!$H$430="",1,0)</f>
        <v>0</v>
      </c>
    </row>
    <row r="610" spans="1:1">
      <c r="A610" s="255">
        <f>IF(ИП!$Q$431="",1,0)</f>
        <v>1</v>
      </c>
    </row>
    <row r="611" spans="1:1">
      <c r="A611" s="255">
        <f>IF(ИП!$E$436="",1,0)</f>
        <v>0</v>
      </c>
    </row>
    <row r="612" spans="1:1">
      <c r="A612" s="255">
        <f>IF(ИП!$G$436="",1,0)</f>
        <v>0</v>
      </c>
    </row>
    <row r="613" spans="1:1">
      <c r="A613" s="255">
        <f>IF(ИП!$K$436="",1,0)</f>
        <v>0</v>
      </c>
    </row>
    <row r="614" spans="1:1">
      <c r="A614" s="255">
        <f>IF(ИП!$L$436="",1,0)</f>
        <v>0</v>
      </c>
    </row>
    <row r="615" spans="1:1">
      <c r="A615" s="255">
        <f>IF(ИП!$M$436="",1,0)</f>
        <v>0</v>
      </c>
    </row>
    <row r="616" spans="1:1">
      <c r="A616" s="255">
        <f>IF(ИП!$P$437="",1,0)</f>
        <v>0</v>
      </c>
    </row>
    <row r="617" spans="1:1">
      <c r="A617" s="255">
        <f>IF(ИП!$AG$438="",1,0)</f>
        <v>0</v>
      </c>
    </row>
    <row r="618" spans="1:1">
      <c r="A618" s="255">
        <f>IF(ИП!$H$436="",1,0)</f>
        <v>0</v>
      </c>
    </row>
    <row r="619" spans="1:1">
      <c r="A619" s="255">
        <f>IF(ИП!$Q$437="",1,0)</f>
        <v>1</v>
      </c>
    </row>
    <row r="620" spans="1:1">
      <c r="A620" s="255">
        <f>IF(ИП!$E$442="",1,0)</f>
        <v>0</v>
      </c>
    </row>
    <row r="621" spans="1:1">
      <c r="A621" s="255">
        <f>IF(ИП!$G$442="",1,0)</f>
        <v>0</v>
      </c>
    </row>
    <row r="622" spans="1:1">
      <c r="A622" s="255">
        <f>IF(ИП!$K$442="",1,0)</f>
        <v>0</v>
      </c>
    </row>
    <row r="623" spans="1:1">
      <c r="A623" s="255">
        <f>IF(ИП!$L$442="",1,0)</f>
        <v>0</v>
      </c>
    </row>
    <row r="624" spans="1:1">
      <c r="A624" s="255">
        <f>IF(ИП!$M$442="",1,0)</f>
        <v>0</v>
      </c>
    </row>
    <row r="625" spans="1:1">
      <c r="A625" s="255">
        <f>IF(ИП!$P$443="",1,0)</f>
        <v>0</v>
      </c>
    </row>
    <row r="626" spans="1:1">
      <c r="A626" s="255">
        <f>IF(ИП!$AG$444="",1,0)</f>
        <v>0</v>
      </c>
    </row>
    <row r="627" spans="1:1">
      <c r="A627" s="255">
        <f>IF(ИП!$H$442="",1,0)</f>
        <v>0</v>
      </c>
    </row>
    <row r="628" spans="1:1">
      <c r="A628" s="255">
        <f>IF(ИП!$Q$443="",1,0)</f>
        <v>1</v>
      </c>
    </row>
    <row r="629" spans="1:1">
      <c r="A629" s="255">
        <f>IF(ИП!$E$448="",1,0)</f>
        <v>0</v>
      </c>
    </row>
    <row r="630" spans="1:1">
      <c r="A630" s="255">
        <f>IF(ИП!$G$448="",1,0)</f>
        <v>0</v>
      </c>
    </row>
    <row r="631" spans="1:1">
      <c r="A631" s="255">
        <f>IF(ИП!$K$448="",1,0)</f>
        <v>0</v>
      </c>
    </row>
    <row r="632" spans="1:1">
      <c r="A632" s="255">
        <f>IF(ИП!$L$448="",1,0)</f>
        <v>0</v>
      </c>
    </row>
    <row r="633" spans="1:1">
      <c r="A633" s="255">
        <f>IF(ИП!$M$448="",1,0)</f>
        <v>0</v>
      </c>
    </row>
    <row r="634" spans="1:1">
      <c r="A634" s="255">
        <f>IF(ИП!$P$449="",1,0)</f>
        <v>0</v>
      </c>
    </row>
    <row r="635" spans="1:1">
      <c r="A635" s="255">
        <f>IF(ИП!$AG$450="",1,0)</f>
        <v>0</v>
      </c>
    </row>
    <row r="636" spans="1:1">
      <c r="A636" s="255">
        <f>IF(ИП!$H$448="",1,0)</f>
        <v>0</v>
      </c>
    </row>
    <row r="637" spans="1:1">
      <c r="A637" s="255">
        <f>IF(ИП!$Q$449="",1,0)</f>
        <v>1</v>
      </c>
    </row>
    <row r="638" spans="1:1">
      <c r="A638" s="255">
        <f>IF(ИП!$E$454="",1,0)</f>
        <v>0</v>
      </c>
    </row>
    <row r="639" spans="1:1">
      <c r="A639" s="255">
        <f>IF(ИП!$G$454="",1,0)</f>
        <v>0</v>
      </c>
    </row>
    <row r="640" spans="1:1">
      <c r="A640" s="255">
        <f>IF(ИП!$K$454="",1,0)</f>
        <v>0</v>
      </c>
    </row>
    <row r="641" spans="1:1">
      <c r="A641" s="255">
        <f>IF(ИП!$L$454="",1,0)</f>
        <v>0</v>
      </c>
    </row>
    <row r="642" spans="1:1">
      <c r="A642" s="255">
        <f>IF(ИП!$M$454="",1,0)</f>
        <v>0</v>
      </c>
    </row>
    <row r="643" spans="1:1">
      <c r="A643" s="255">
        <f>IF(ИП!$P$455="",1,0)</f>
        <v>0</v>
      </c>
    </row>
    <row r="644" spans="1:1">
      <c r="A644" s="255">
        <f>IF(ИП!$AG$456="",1,0)</f>
        <v>0</v>
      </c>
    </row>
    <row r="645" spans="1:1">
      <c r="A645" s="255">
        <f>IF(ИП!$H$454="",1,0)</f>
        <v>0</v>
      </c>
    </row>
    <row r="646" spans="1:1">
      <c r="A646" s="255">
        <f>IF(ИП!$Q$455="",1,0)</f>
        <v>1</v>
      </c>
    </row>
    <row r="647" spans="1:1">
      <c r="A647" s="255">
        <f>IF(ИП!$AG$343="",1,0)</f>
        <v>0</v>
      </c>
    </row>
    <row r="648" spans="1:1">
      <c r="A648" s="255">
        <f>IF(ИП!$AG$349="",1,0)</f>
        <v>0</v>
      </c>
    </row>
    <row r="649" spans="1:1">
      <c r="A649" s="255">
        <f>IF(ИП!$AG$355="",1,0)</f>
        <v>0</v>
      </c>
    </row>
    <row r="650" spans="1:1">
      <c r="A650" s="255">
        <f>IF(ИП!$AG$361="",1,0)</f>
        <v>0</v>
      </c>
    </row>
    <row r="651" spans="1:1">
      <c r="A651" s="255">
        <f>IF(ИП!$AG$367="",1,0)</f>
        <v>0</v>
      </c>
    </row>
    <row r="652" spans="1:1">
      <c r="A652" s="255">
        <f>IF(ИП!$AG$373="",1,0)</f>
        <v>0</v>
      </c>
    </row>
    <row r="653" spans="1:1">
      <c r="A653" s="255">
        <f>IF(ИП!$AG$379="",1,0)</f>
        <v>0</v>
      </c>
    </row>
    <row r="654" spans="1:1">
      <c r="A654" s="255">
        <f>IF(ИП!$AG$385="",1,0)</f>
        <v>0</v>
      </c>
    </row>
    <row r="655" spans="1:1">
      <c r="A655" s="255">
        <f>IF(ИП!$AG$391="",1,0)</f>
        <v>0</v>
      </c>
    </row>
    <row r="656" spans="1:1">
      <c r="A656" s="255">
        <f>IF(ИП!$AG$397="",1,0)</f>
        <v>0</v>
      </c>
    </row>
    <row r="657" spans="1:1">
      <c r="A657" s="255">
        <f>IF(ИП!$AG$403="",1,0)</f>
        <v>0</v>
      </c>
    </row>
    <row r="658" spans="1:1">
      <c r="A658" s="255">
        <f>IF(ИП!$AG$409="",1,0)</f>
        <v>0</v>
      </c>
    </row>
    <row r="659" spans="1:1">
      <c r="A659" s="255">
        <f>IF(ИП!$AG$415="",1,0)</f>
        <v>0</v>
      </c>
    </row>
    <row r="660" spans="1:1">
      <c r="A660" s="255">
        <f>IF(ИП!$AG$421="",1,0)</f>
        <v>0</v>
      </c>
    </row>
    <row r="661" spans="1:1">
      <c r="A661" s="255">
        <f>IF(ИП!$AG$427="",1,0)</f>
        <v>0</v>
      </c>
    </row>
    <row r="662" spans="1:1">
      <c r="A662" s="255">
        <f>IF(ИП!$AG$433="",1,0)</f>
        <v>0</v>
      </c>
    </row>
    <row r="663" spans="1:1">
      <c r="A663" s="255">
        <f>IF(ИП!$AG$439="",1,0)</f>
        <v>0</v>
      </c>
    </row>
    <row r="664" spans="1:1">
      <c r="A664" s="255">
        <f>IF(ИП!$AG$445="",1,0)</f>
        <v>0</v>
      </c>
    </row>
    <row r="665" spans="1:1">
      <c r="A665" s="255">
        <f>IF(ИП!$AG$451="",1,0)</f>
        <v>0</v>
      </c>
    </row>
    <row r="666" spans="1:1">
      <c r="A666" s="255">
        <f>IF(ИП!$AG$457="",1,0)</f>
        <v>0</v>
      </c>
    </row>
    <row r="667" spans="1:1">
      <c r="A667" s="255">
        <f>IF(ИП!$E$460="",1,0)</f>
        <v>0</v>
      </c>
    </row>
    <row r="668" spans="1:1">
      <c r="A668" s="255">
        <f>IF(ИП!$G$460="",1,0)</f>
        <v>0</v>
      </c>
    </row>
    <row r="669" spans="1:1">
      <c r="A669" s="255">
        <f>IF(ИП!$K$460="",1,0)</f>
        <v>0</v>
      </c>
    </row>
    <row r="670" spans="1:1">
      <c r="A670" s="255">
        <f>IF(ИП!$L$460="",1,0)</f>
        <v>0</v>
      </c>
    </row>
    <row r="671" spans="1:1">
      <c r="A671" s="255">
        <f>IF(ИП!$M$460="",1,0)</f>
        <v>0</v>
      </c>
    </row>
    <row r="672" spans="1:1">
      <c r="A672" s="255">
        <f>IF(ИП!$P$461="",1,0)</f>
        <v>0</v>
      </c>
    </row>
    <row r="673" spans="1:1">
      <c r="A673" s="255">
        <f>IF(ИП!$AG$462="",1,0)</f>
        <v>0</v>
      </c>
    </row>
    <row r="674" spans="1:1">
      <c r="A674" s="255">
        <f>IF(ИП!$H$460="",1,0)</f>
        <v>0</v>
      </c>
    </row>
    <row r="675" spans="1:1">
      <c r="A675" s="255">
        <f>IF(ИП!$Q$461="",1,0)</f>
        <v>1</v>
      </c>
    </row>
    <row r="676" spans="1:1">
      <c r="A676" s="255">
        <f>IF(ИП!$E$466="",1,0)</f>
        <v>0</v>
      </c>
    </row>
    <row r="677" spans="1:1">
      <c r="A677" s="255">
        <f>IF(ИП!$G$466="",1,0)</f>
        <v>0</v>
      </c>
    </row>
    <row r="678" spans="1:1">
      <c r="A678" s="255">
        <f>IF(ИП!$K$466="",1,0)</f>
        <v>0</v>
      </c>
    </row>
    <row r="679" spans="1:1">
      <c r="A679" s="255">
        <f>IF(ИП!$L$466="",1,0)</f>
        <v>0</v>
      </c>
    </row>
    <row r="680" spans="1:1">
      <c r="A680" s="255">
        <f>IF(ИП!$M$466="",1,0)</f>
        <v>0</v>
      </c>
    </row>
    <row r="681" spans="1:1">
      <c r="A681" s="255">
        <f>IF(ИП!$P$467="",1,0)</f>
        <v>0</v>
      </c>
    </row>
    <row r="682" spans="1:1">
      <c r="A682" s="255">
        <f>IF(ИП!$AG$468="",1,0)</f>
        <v>0</v>
      </c>
    </row>
    <row r="683" spans="1:1">
      <c r="A683" s="255">
        <f>IF(ИП!$H$466="",1,0)</f>
        <v>0</v>
      </c>
    </row>
    <row r="684" spans="1:1">
      <c r="A684" s="255">
        <f>IF(ИП!$Q$467="",1,0)</f>
        <v>1</v>
      </c>
    </row>
    <row r="685" spans="1:1">
      <c r="A685" s="255">
        <f>IF(ИП!$E$472="",1,0)</f>
        <v>0</v>
      </c>
    </row>
    <row r="686" spans="1:1">
      <c r="A686" s="255">
        <f>IF(ИП!$G$472="",1,0)</f>
        <v>0</v>
      </c>
    </row>
    <row r="687" spans="1:1">
      <c r="A687" s="255">
        <f>IF(ИП!$K$472="",1,0)</f>
        <v>0</v>
      </c>
    </row>
    <row r="688" spans="1:1">
      <c r="A688" s="255">
        <f>IF(ИП!$L$472="",1,0)</f>
        <v>0</v>
      </c>
    </row>
    <row r="689" spans="1:1">
      <c r="A689" s="255">
        <f>IF(ИП!$M$472="",1,0)</f>
        <v>0</v>
      </c>
    </row>
    <row r="690" spans="1:1">
      <c r="A690" s="255">
        <f>IF(ИП!$P$473="",1,0)</f>
        <v>0</v>
      </c>
    </row>
    <row r="691" spans="1:1">
      <c r="A691" s="255">
        <f>IF(ИП!$AG$474="",1,0)</f>
        <v>0</v>
      </c>
    </row>
    <row r="692" spans="1:1">
      <c r="A692" s="255">
        <f>IF(ИП!$H$472="",1,0)</f>
        <v>0</v>
      </c>
    </row>
    <row r="693" spans="1:1">
      <c r="A693" s="255">
        <f>IF(ИП!$Q$473="",1,0)</f>
        <v>1</v>
      </c>
    </row>
    <row r="694" spans="1:1">
      <c r="A694" s="255">
        <f>IF(ИП!$E$478="",1,0)</f>
        <v>0</v>
      </c>
    </row>
    <row r="695" spans="1:1">
      <c r="A695" s="255">
        <f>IF(ИП!$G$478="",1,0)</f>
        <v>0</v>
      </c>
    </row>
    <row r="696" spans="1:1">
      <c r="A696" s="255">
        <f>IF(ИП!$K$478="",1,0)</f>
        <v>0</v>
      </c>
    </row>
    <row r="697" spans="1:1">
      <c r="A697" s="255">
        <f>IF(ИП!$L$478="",1,0)</f>
        <v>0</v>
      </c>
    </row>
    <row r="698" spans="1:1">
      <c r="A698" s="255">
        <f>IF(ИП!$M$478="",1,0)</f>
        <v>0</v>
      </c>
    </row>
    <row r="699" spans="1:1">
      <c r="A699" s="255">
        <f>IF(ИП!$P$479="",1,0)</f>
        <v>0</v>
      </c>
    </row>
    <row r="700" spans="1:1">
      <c r="A700" s="255">
        <f>IF(ИП!$AG$480="",1,0)</f>
        <v>0</v>
      </c>
    </row>
    <row r="701" spans="1:1">
      <c r="A701" s="255">
        <f>IF(ИП!$H$478="",1,0)</f>
        <v>0</v>
      </c>
    </row>
    <row r="702" spans="1:1">
      <c r="A702" s="255">
        <f>IF(ИП!$Q$479="",1,0)</f>
        <v>1</v>
      </c>
    </row>
    <row r="703" spans="1:1">
      <c r="A703" s="255">
        <f>IF(ИП!$E$484="",1,0)</f>
        <v>0</v>
      </c>
    </row>
    <row r="704" spans="1:1">
      <c r="A704" s="255">
        <f>IF(ИП!$G$484="",1,0)</f>
        <v>0</v>
      </c>
    </row>
    <row r="705" spans="1:1">
      <c r="A705" s="255">
        <f>IF(ИП!$K$484="",1,0)</f>
        <v>0</v>
      </c>
    </row>
    <row r="706" spans="1:1">
      <c r="A706" s="255">
        <f>IF(ИП!$L$484="",1,0)</f>
        <v>0</v>
      </c>
    </row>
    <row r="707" spans="1:1">
      <c r="A707" s="255">
        <f>IF(ИП!$M$484="",1,0)</f>
        <v>0</v>
      </c>
    </row>
    <row r="708" spans="1:1">
      <c r="A708" s="255">
        <f>IF(ИП!$P$485="",1,0)</f>
        <v>0</v>
      </c>
    </row>
    <row r="709" spans="1:1">
      <c r="A709" s="255">
        <f>IF(ИП!$AG$486="",1,0)</f>
        <v>0</v>
      </c>
    </row>
    <row r="710" spans="1:1">
      <c r="A710" s="255">
        <f>IF(ИП!$H$484="",1,0)</f>
        <v>0</v>
      </c>
    </row>
    <row r="711" spans="1:1">
      <c r="A711" s="255">
        <f>IF(ИП!$Q$485="",1,0)</f>
        <v>1</v>
      </c>
    </row>
    <row r="712" spans="1:1">
      <c r="A712" s="255">
        <f>IF(ИП!$E$490="",1,0)</f>
        <v>0</v>
      </c>
    </row>
    <row r="713" spans="1:1">
      <c r="A713" s="255">
        <f>IF(ИП!$G$490="",1,0)</f>
        <v>0</v>
      </c>
    </row>
    <row r="714" spans="1:1">
      <c r="A714" s="255">
        <f>IF(ИП!$K$490="",1,0)</f>
        <v>0</v>
      </c>
    </row>
    <row r="715" spans="1:1">
      <c r="A715" s="255">
        <f>IF(ИП!$L$490="",1,0)</f>
        <v>0</v>
      </c>
    </row>
    <row r="716" spans="1:1">
      <c r="A716" s="255">
        <f>IF(ИП!$M$490="",1,0)</f>
        <v>0</v>
      </c>
    </row>
    <row r="717" spans="1:1">
      <c r="A717" s="255">
        <f>IF(ИП!$P$491="",1,0)</f>
        <v>0</v>
      </c>
    </row>
    <row r="718" spans="1:1">
      <c r="A718" s="255">
        <f>IF(ИП!$AG$492="",1,0)</f>
        <v>0</v>
      </c>
    </row>
    <row r="719" spans="1:1">
      <c r="A719" s="255">
        <f>IF(ИП!$H$490="",1,0)</f>
        <v>0</v>
      </c>
    </row>
    <row r="720" spans="1:1">
      <c r="A720" s="255">
        <f>IF(ИП!$Q$491="",1,0)</f>
        <v>1</v>
      </c>
    </row>
    <row r="721" spans="1:1">
      <c r="A721" s="255">
        <f>IF(ИП!$E$496="",1,0)</f>
        <v>0</v>
      </c>
    </row>
    <row r="722" spans="1:1">
      <c r="A722" s="255">
        <f>IF(ИП!$G$496="",1,0)</f>
        <v>0</v>
      </c>
    </row>
    <row r="723" spans="1:1">
      <c r="A723" s="255">
        <f>IF(ИП!$K$496="",1,0)</f>
        <v>0</v>
      </c>
    </row>
    <row r="724" spans="1:1">
      <c r="A724" s="255">
        <f>IF(ИП!$L$496="",1,0)</f>
        <v>0</v>
      </c>
    </row>
    <row r="725" spans="1:1">
      <c r="A725" s="255">
        <f>IF(ИП!$M$496="",1,0)</f>
        <v>0</v>
      </c>
    </row>
    <row r="726" spans="1:1">
      <c r="A726" s="255">
        <f>IF(ИП!$P$497="",1,0)</f>
        <v>0</v>
      </c>
    </row>
    <row r="727" spans="1:1">
      <c r="A727" s="255">
        <f>IF(ИП!$AG$498="",1,0)</f>
        <v>0</v>
      </c>
    </row>
    <row r="728" spans="1:1">
      <c r="A728" s="255">
        <f>IF(ИП!$H$496="",1,0)</f>
        <v>0</v>
      </c>
    </row>
    <row r="729" spans="1:1">
      <c r="A729" s="255">
        <f>IF(ИП!$Q$497="",1,0)</f>
        <v>1</v>
      </c>
    </row>
    <row r="730" spans="1:1">
      <c r="A730" s="255">
        <f>IF(ИП!$E$502="",1,0)</f>
        <v>0</v>
      </c>
    </row>
    <row r="731" spans="1:1">
      <c r="A731" s="255">
        <f>IF(ИП!$G$502="",1,0)</f>
        <v>0</v>
      </c>
    </row>
    <row r="732" spans="1:1">
      <c r="A732" s="255">
        <f>IF(ИП!$K$502="",1,0)</f>
        <v>0</v>
      </c>
    </row>
    <row r="733" spans="1:1">
      <c r="A733" s="255">
        <f>IF(ИП!$L$502="",1,0)</f>
        <v>0</v>
      </c>
    </row>
    <row r="734" spans="1:1">
      <c r="A734" s="255">
        <f>IF(ИП!$M$502="",1,0)</f>
        <v>0</v>
      </c>
    </row>
    <row r="735" spans="1:1">
      <c r="A735" s="255">
        <f>IF(ИП!$P$503="",1,0)</f>
        <v>0</v>
      </c>
    </row>
    <row r="736" spans="1:1">
      <c r="A736" s="255">
        <f>IF(ИП!$AG$504="",1,0)</f>
        <v>0</v>
      </c>
    </row>
    <row r="737" spans="1:1">
      <c r="A737" s="255">
        <f>IF(ИП!$H$502="",1,0)</f>
        <v>0</v>
      </c>
    </row>
    <row r="738" spans="1:1">
      <c r="A738" s="255">
        <f>IF(ИП!$Q$503="",1,0)</f>
        <v>1</v>
      </c>
    </row>
    <row r="739" spans="1:1">
      <c r="A739" s="255">
        <f>IF(ИП!$E$508="",1,0)</f>
        <v>0</v>
      </c>
    </row>
    <row r="740" spans="1:1">
      <c r="A740" s="255">
        <f>IF(ИП!$G$508="",1,0)</f>
        <v>0</v>
      </c>
    </row>
    <row r="741" spans="1:1">
      <c r="A741" s="255">
        <f>IF(ИП!$K$508="",1,0)</f>
        <v>0</v>
      </c>
    </row>
    <row r="742" spans="1:1">
      <c r="A742" s="255">
        <f>IF(ИП!$L$508="",1,0)</f>
        <v>0</v>
      </c>
    </row>
    <row r="743" spans="1:1">
      <c r="A743" s="255">
        <f>IF(ИП!$M$508="",1,0)</f>
        <v>0</v>
      </c>
    </row>
    <row r="744" spans="1:1">
      <c r="A744" s="255">
        <f>IF(ИП!$P$509="",1,0)</f>
        <v>0</v>
      </c>
    </row>
    <row r="745" spans="1:1">
      <c r="A745" s="255">
        <f>IF(ИП!$AG$510="",1,0)</f>
        <v>0</v>
      </c>
    </row>
    <row r="746" spans="1:1">
      <c r="A746" s="255">
        <f>IF(ИП!$H$508="",1,0)</f>
        <v>0</v>
      </c>
    </row>
    <row r="747" spans="1:1">
      <c r="A747" s="255">
        <f>IF(ИП!$Q$509="",1,0)</f>
        <v>1</v>
      </c>
    </row>
    <row r="748" spans="1:1">
      <c r="A748" s="255">
        <f>IF(ИП!$E$514="",1,0)</f>
        <v>0</v>
      </c>
    </row>
    <row r="749" spans="1:1">
      <c r="A749" s="255">
        <f>IF(ИП!$G$514="",1,0)</f>
        <v>0</v>
      </c>
    </row>
    <row r="750" spans="1:1">
      <c r="A750" s="255">
        <f>IF(ИП!$K$514="",1,0)</f>
        <v>0</v>
      </c>
    </row>
    <row r="751" spans="1:1">
      <c r="A751" s="255">
        <f>IF(ИП!$L$514="",1,0)</f>
        <v>0</v>
      </c>
    </row>
    <row r="752" spans="1:1">
      <c r="A752" s="255">
        <f>IF(ИП!$M$514="",1,0)</f>
        <v>0</v>
      </c>
    </row>
    <row r="753" spans="1:1">
      <c r="A753" s="255">
        <f>IF(ИП!$P$515="",1,0)</f>
        <v>0</v>
      </c>
    </row>
    <row r="754" spans="1:1">
      <c r="A754" s="255">
        <f>IF(ИП!$AG$516="",1,0)</f>
        <v>0</v>
      </c>
    </row>
    <row r="755" spans="1:1">
      <c r="A755" s="255">
        <f>IF(ИП!$H$514="",1,0)</f>
        <v>0</v>
      </c>
    </row>
    <row r="756" spans="1:1">
      <c r="A756" s="255">
        <f>IF(ИП!$Q$515="",1,0)</f>
        <v>1</v>
      </c>
    </row>
    <row r="757" spans="1:1">
      <c r="A757" s="255">
        <f>IF(ИП!$E$520="",1,0)</f>
        <v>0</v>
      </c>
    </row>
    <row r="758" spans="1:1">
      <c r="A758" s="255">
        <f>IF(ИП!$G$520="",1,0)</f>
        <v>0</v>
      </c>
    </row>
    <row r="759" spans="1:1">
      <c r="A759" s="255">
        <f>IF(ИП!$K$520="",1,0)</f>
        <v>0</v>
      </c>
    </row>
    <row r="760" spans="1:1">
      <c r="A760" s="255">
        <f>IF(ИП!$L$520="",1,0)</f>
        <v>0</v>
      </c>
    </row>
    <row r="761" spans="1:1">
      <c r="A761" s="255">
        <f>IF(ИП!$M$520="",1,0)</f>
        <v>0</v>
      </c>
    </row>
    <row r="762" spans="1:1">
      <c r="A762" s="255">
        <f>IF(ИП!$P$521="",1,0)</f>
        <v>0</v>
      </c>
    </row>
    <row r="763" spans="1:1">
      <c r="A763" s="255">
        <f>IF(ИП!$AG$522="",1,0)</f>
        <v>0</v>
      </c>
    </row>
    <row r="764" spans="1:1">
      <c r="A764" s="255">
        <f>IF(ИП!$H$520="",1,0)</f>
        <v>0</v>
      </c>
    </row>
    <row r="765" spans="1:1">
      <c r="A765" s="255">
        <f>IF(ИП!$Q$521="",1,0)</f>
        <v>1</v>
      </c>
    </row>
    <row r="766" spans="1:1">
      <c r="A766" s="255">
        <f>IF(ИП!$E$526="",1,0)</f>
        <v>0</v>
      </c>
    </row>
    <row r="767" spans="1:1">
      <c r="A767" s="255">
        <f>IF(ИП!$G$526="",1,0)</f>
        <v>0</v>
      </c>
    </row>
    <row r="768" spans="1:1">
      <c r="A768" s="255">
        <f>IF(ИП!$K$526="",1,0)</f>
        <v>0</v>
      </c>
    </row>
    <row r="769" spans="1:1">
      <c r="A769" s="255">
        <f>IF(ИП!$L$526="",1,0)</f>
        <v>0</v>
      </c>
    </row>
    <row r="770" spans="1:1">
      <c r="A770" s="255">
        <f>IF(ИП!$M$526="",1,0)</f>
        <v>0</v>
      </c>
    </row>
    <row r="771" spans="1:1">
      <c r="A771" s="255">
        <f>IF(ИП!$P$527="",1,0)</f>
        <v>0</v>
      </c>
    </row>
    <row r="772" spans="1:1">
      <c r="A772" s="255">
        <f>IF(ИП!$AG$528="",1,0)</f>
        <v>0</v>
      </c>
    </row>
    <row r="773" spans="1:1">
      <c r="A773" s="255">
        <f>IF(ИП!$H$526="",1,0)</f>
        <v>0</v>
      </c>
    </row>
    <row r="774" spans="1:1">
      <c r="A774" s="255">
        <f>IF(ИП!$Q$527="",1,0)</f>
        <v>1</v>
      </c>
    </row>
    <row r="775" spans="1:1">
      <c r="A775" s="255">
        <f>IF(ИП!$E$532="",1,0)</f>
        <v>0</v>
      </c>
    </row>
    <row r="776" spans="1:1">
      <c r="A776" s="255">
        <f>IF(ИП!$G$532="",1,0)</f>
        <v>0</v>
      </c>
    </row>
    <row r="777" spans="1:1">
      <c r="A777" s="255">
        <f>IF(ИП!$K$532="",1,0)</f>
        <v>0</v>
      </c>
    </row>
    <row r="778" spans="1:1">
      <c r="A778" s="255">
        <f>IF(ИП!$L$532="",1,0)</f>
        <v>0</v>
      </c>
    </row>
    <row r="779" spans="1:1">
      <c r="A779" s="255">
        <f>IF(ИП!$M$532="",1,0)</f>
        <v>0</v>
      </c>
    </row>
    <row r="780" spans="1:1">
      <c r="A780" s="255">
        <f>IF(ИП!$P$533="",1,0)</f>
        <v>0</v>
      </c>
    </row>
    <row r="781" spans="1:1">
      <c r="A781" s="255">
        <f>IF(ИП!$AG$534="",1,0)</f>
        <v>0</v>
      </c>
    </row>
    <row r="782" spans="1:1">
      <c r="A782" s="255">
        <f>IF(ИП!$H$532="",1,0)</f>
        <v>0</v>
      </c>
    </row>
    <row r="783" spans="1:1">
      <c r="A783" s="255">
        <f>IF(ИП!$Q$533="",1,0)</f>
        <v>1</v>
      </c>
    </row>
    <row r="784" spans="1:1">
      <c r="A784" s="255">
        <f>IF(ИП!$E$538="",1,0)</f>
        <v>0</v>
      </c>
    </row>
    <row r="785" spans="1:1">
      <c r="A785" s="255">
        <f>IF(ИП!$G$538="",1,0)</f>
        <v>0</v>
      </c>
    </row>
    <row r="786" spans="1:1">
      <c r="A786" s="255">
        <f>IF(ИП!$K$538="",1,0)</f>
        <v>0</v>
      </c>
    </row>
    <row r="787" spans="1:1">
      <c r="A787" s="255">
        <f>IF(ИП!$L$538="",1,0)</f>
        <v>0</v>
      </c>
    </row>
    <row r="788" spans="1:1">
      <c r="A788" s="255">
        <f>IF(ИП!$M$538="",1,0)</f>
        <v>0</v>
      </c>
    </row>
    <row r="789" spans="1:1">
      <c r="A789" s="255">
        <f>IF(ИП!$P$539="",1,0)</f>
        <v>0</v>
      </c>
    </row>
    <row r="790" spans="1:1">
      <c r="A790" s="255">
        <f>IF(ИП!$AG$540="",1,0)</f>
        <v>0</v>
      </c>
    </row>
    <row r="791" spans="1:1">
      <c r="A791" s="255">
        <f>IF(ИП!$H$538="",1,0)</f>
        <v>0</v>
      </c>
    </row>
    <row r="792" spans="1:1">
      <c r="A792" s="255">
        <f>IF(ИП!$Q$539="",1,0)</f>
        <v>1</v>
      </c>
    </row>
    <row r="793" spans="1:1">
      <c r="A793" s="255">
        <f>IF(ИП!$E$544="",1,0)</f>
        <v>0</v>
      </c>
    </row>
    <row r="794" spans="1:1">
      <c r="A794" s="255">
        <f>IF(ИП!$G$544="",1,0)</f>
        <v>0</v>
      </c>
    </row>
    <row r="795" spans="1:1">
      <c r="A795" s="255">
        <f>IF(ИП!$K$544="",1,0)</f>
        <v>0</v>
      </c>
    </row>
    <row r="796" spans="1:1">
      <c r="A796" s="255">
        <f>IF(ИП!$L$544="",1,0)</f>
        <v>0</v>
      </c>
    </row>
    <row r="797" spans="1:1">
      <c r="A797" s="255">
        <f>IF(ИП!$M$544="",1,0)</f>
        <v>0</v>
      </c>
    </row>
    <row r="798" spans="1:1">
      <c r="A798" s="255">
        <f>IF(ИП!$P$545="",1,0)</f>
        <v>0</v>
      </c>
    </row>
    <row r="799" spans="1:1">
      <c r="A799" s="255">
        <f>IF(ИП!$AG$546="",1,0)</f>
        <v>0</v>
      </c>
    </row>
    <row r="800" spans="1:1">
      <c r="A800" s="255">
        <f>IF(ИП!$H$544="",1,0)</f>
        <v>0</v>
      </c>
    </row>
    <row r="801" spans="1:1">
      <c r="A801" s="255">
        <f>IF(ИП!$Q$545="",1,0)</f>
        <v>1</v>
      </c>
    </row>
    <row r="802" spans="1:1">
      <c r="A802" s="255">
        <f>IF(ИП!$E$550="",1,0)</f>
        <v>0</v>
      </c>
    </row>
    <row r="803" spans="1:1">
      <c r="A803" s="255">
        <f>IF(ИП!$G$550="",1,0)</f>
        <v>0</v>
      </c>
    </row>
    <row r="804" spans="1:1">
      <c r="A804" s="255">
        <f>IF(ИП!$K$550="",1,0)</f>
        <v>0</v>
      </c>
    </row>
    <row r="805" spans="1:1">
      <c r="A805" s="255">
        <f>IF(ИП!$L$550="",1,0)</f>
        <v>0</v>
      </c>
    </row>
    <row r="806" spans="1:1">
      <c r="A806" s="255">
        <f>IF(ИП!$M$550="",1,0)</f>
        <v>0</v>
      </c>
    </row>
    <row r="807" spans="1:1">
      <c r="A807" s="255">
        <f>IF(ИП!$P$551="",1,0)</f>
        <v>0</v>
      </c>
    </row>
    <row r="808" spans="1:1">
      <c r="A808" s="255">
        <f>IF(ИП!$AG$552="",1,0)</f>
        <v>0</v>
      </c>
    </row>
    <row r="809" spans="1:1">
      <c r="A809" s="255">
        <f>IF(ИП!$H$550="",1,0)</f>
        <v>0</v>
      </c>
    </row>
    <row r="810" spans="1:1">
      <c r="A810" s="255">
        <f>IF(ИП!$Q$551="",1,0)</f>
        <v>1</v>
      </c>
    </row>
    <row r="811" spans="1:1">
      <c r="A811" s="255">
        <f>IF(ИП!$E$556="",1,0)</f>
        <v>0</v>
      </c>
    </row>
    <row r="812" spans="1:1">
      <c r="A812" s="255">
        <f>IF(ИП!$G$556="",1,0)</f>
        <v>0</v>
      </c>
    </row>
    <row r="813" spans="1:1">
      <c r="A813" s="255">
        <f>IF(ИП!$K$556="",1,0)</f>
        <v>0</v>
      </c>
    </row>
    <row r="814" spans="1:1">
      <c r="A814" s="255">
        <f>IF(ИП!$L$556="",1,0)</f>
        <v>0</v>
      </c>
    </row>
    <row r="815" spans="1:1">
      <c r="A815" s="255">
        <f>IF(ИП!$M$556="",1,0)</f>
        <v>0</v>
      </c>
    </row>
    <row r="816" spans="1:1">
      <c r="A816" s="255">
        <f>IF(ИП!$P$557="",1,0)</f>
        <v>0</v>
      </c>
    </row>
    <row r="817" spans="1:1">
      <c r="A817" s="255">
        <f>IF(ИП!$AG$558="",1,0)</f>
        <v>0</v>
      </c>
    </row>
    <row r="818" spans="1:1">
      <c r="A818" s="255">
        <f>IF(ИП!$H$556="",1,0)</f>
        <v>0</v>
      </c>
    </row>
    <row r="819" spans="1:1">
      <c r="A819" s="255">
        <f>IF(ИП!$Q$557="",1,0)</f>
        <v>1</v>
      </c>
    </row>
    <row r="820" spans="1:1">
      <c r="A820" s="255">
        <f>IF(ИП!$E$562="",1,0)</f>
        <v>0</v>
      </c>
    </row>
    <row r="821" spans="1:1">
      <c r="A821" s="255">
        <f>IF(ИП!$G$562="",1,0)</f>
        <v>0</v>
      </c>
    </row>
    <row r="822" spans="1:1">
      <c r="A822" s="255">
        <f>IF(ИП!$K$562="",1,0)</f>
        <v>0</v>
      </c>
    </row>
    <row r="823" spans="1:1">
      <c r="A823" s="255">
        <f>IF(ИП!$L$562="",1,0)</f>
        <v>0</v>
      </c>
    </row>
    <row r="824" spans="1:1">
      <c r="A824" s="255">
        <f>IF(ИП!$M$562="",1,0)</f>
        <v>0</v>
      </c>
    </row>
    <row r="825" spans="1:1">
      <c r="A825" s="255">
        <f>IF(ИП!$P$563="",1,0)</f>
        <v>0</v>
      </c>
    </row>
    <row r="826" spans="1:1">
      <c r="A826" s="255">
        <f>IF(ИП!$AG$564="",1,0)</f>
        <v>0</v>
      </c>
    </row>
    <row r="827" spans="1:1">
      <c r="A827" s="255">
        <f>IF(ИП!$H$562="",1,0)</f>
        <v>0</v>
      </c>
    </row>
    <row r="828" spans="1:1">
      <c r="A828" s="255">
        <f>IF(ИП!$Q$563="",1,0)</f>
        <v>1</v>
      </c>
    </row>
    <row r="829" spans="1:1">
      <c r="A829" s="255">
        <f>IF(ИП!$E$568="",1,0)</f>
        <v>0</v>
      </c>
    </row>
    <row r="830" spans="1:1">
      <c r="A830" s="255">
        <f>IF(ИП!$G$568="",1,0)</f>
        <v>0</v>
      </c>
    </row>
    <row r="831" spans="1:1">
      <c r="A831" s="255">
        <f>IF(ИП!$K$568="",1,0)</f>
        <v>0</v>
      </c>
    </row>
    <row r="832" spans="1:1">
      <c r="A832" s="255">
        <f>IF(ИП!$L$568="",1,0)</f>
        <v>0</v>
      </c>
    </row>
    <row r="833" spans="1:1">
      <c r="A833" s="255">
        <f>IF(ИП!$M$568="",1,0)</f>
        <v>0</v>
      </c>
    </row>
    <row r="834" spans="1:1">
      <c r="A834" s="255">
        <f>IF(ИП!$P$569="",1,0)</f>
        <v>0</v>
      </c>
    </row>
    <row r="835" spans="1:1">
      <c r="A835" s="255">
        <f>IF(ИП!$AG$570="",1,0)</f>
        <v>0</v>
      </c>
    </row>
    <row r="836" spans="1:1">
      <c r="A836" s="255">
        <f>IF(ИП!$H$568="",1,0)</f>
        <v>0</v>
      </c>
    </row>
    <row r="837" spans="1:1">
      <c r="A837" s="255">
        <f>IF(ИП!$Q$569="",1,0)</f>
        <v>1</v>
      </c>
    </row>
    <row r="838" spans="1:1">
      <c r="A838" s="255">
        <f>IF(ИП!$E$574="",1,0)</f>
        <v>0</v>
      </c>
    </row>
    <row r="839" spans="1:1">
      <c r="A839" s="255">
        <f>IF(ИП!$G$574="",1,0)</f>
        <v>0</v>
      </c>
    </row>
    <row r="840" spans="1:1">
      <c r="A840" s="255">
        <f>IF(ИП!$K$574="",1,0)</f>
        <v>0</v>
      </c>
    </row>
    <row r="841" spans="1:1">
      <c r="A841" s="255">
        <f>IF(ИП!$L$574="",1,0)</f>
        <v>0</v>
      </c>
    </row>
    <row r="842" spans="1:1">
      <c r="A842" s="255">
        <f>IF(ИП!$M$574="",1,0)</f>
        <v>0</v>
      </c>
    </row>
    <row r="843" spans="1:1">
      <c r="A843" s="255">
        <f>IF(ИП!$P$575="",1,0)</f>
        <v>0</v>
      </c>
    </row>
    <row r="844" spans="1:1">
      <c r="A844" s="255">
        <f>IF(ИП!$AG$576="",1,0)</f>
        <v>0</v>
      </c>
    </row>
    <row r="845" spans="1:1">
      <c r="A845" s="255">
        <f>IF(ИП!$H$574="",1,0)</f>
        <v>0</v>
      </c>
    </row>
    <row r="846" spans="1:1">
      <c r="A846" s="255">
        <f>IF(ИП!$Q$575="",1,0)</f>
        <v>1</v>
      </c>
    </row>
    <row r="847" spans="1:1">
      <c r="A847" s="255">
        <f>IF(ИП!$AG$577="",1,0)</f>
        <v>0</v>
      </c>
    </row>
    <row r="848" spans="1:1">
      <c r="A848" s="255">
        <f>IF(ИП!$AG$571="",1,0)</f>
        <v>0</v>
      </c>
    </row>
    <row r="849" spans="1:1">
      <c r="A849" s="255">
        <f>IF(ИП!$AG$565="",1,0)</f>
        <v>0</v>
      </c>
    </row>
    <row r="850" spans="1:1">
      <c r="A850" s="255">
        <f>IF(ИП!$AG$559="",1,0)</f>
        <v>0</v>
      </c>
    </row>
    <row r="851" spans="1:1">
      <c r="A851" s="255">
        <f>IF(ИП!$AG$553="",1,0)</f>
        <v>0</v>
      </c>
    </row>
    <row r="852" spans="1:1">
      <c r="A852" s="255">
        <f>IF(ИП!$AG$547="",1,0)</f>
        <v>0</v>
      </c>
    </row>
    <row r="853" spans="1:1">
      <c r="A853" s="255">
        <f>IF(ИП!$AG$541="",1,0)</f>
        <v>0</v>
      </c>
    </row>
    <row r="854" spans="1:1">
      <c r="A854" s="255">
        <f>IF(ИП!$AG$535="",1,0)</f>
        <v>0</v>
      </c>
    </row>
    <row r="855" spans="1:1">
      <c r="A855" s="255">
        <f>IF(ИП!$AG$529="",1,0)</f>
        <v>0</v>
      </c>
    </row>
    <row r="856" spans="1:1">
      <c r="A856" s="255">
        <f>IF(ИП!$AG$523="",1,0)</f>
        <v>0</v>
      </c>
    </row>
    <row r="857" spans="1:1">
      <c r="A857" s="255">
        <f>IF(ИП!$AG$517="",1,0)</f>
        <v>0</v>
      </c>
    </row>
    <row r="858" spans="1:1">
      <c r="A858" s="255">
        <f>IF(ИП!$AG$511="",1,0)</f>
        <v>0</v>
      </c>
    </row>
    <row r="859" spans="1:1">
      <c r="A859" s="255">
        <f>IF(ИП!$AG$505="",1,0)</f>
        <v>0</v>
      </c>
    </row>
    <row r="860" spans="1:1">
      <c r="A860" s="255">
        <f>IF(ИП!$AG$499="",1,0)</f>
        <v>0</v>
      </c>
    </row>
    <row r="861" spans="1:1">
      <c r="A861" s="255">
        <f>IF(ИП!$AG$493="",1,0)</f>
        <v>0</v>
      </c>
    </row>
    <row r="862" spans="1:1">
      <c r="A862" s="255">
        <f>IF(ИП!$AG$487="",1,0)</f>
        <v>0</v>
      </c>
    </row>
    <row r="863" spans="1:1">
      <c r="A863" s="255">
        <f>IF(ИП!$AG$481="",1,0)</f>
        <v>0</v>
      </c>
    </row>
    <row r="864" spans="1:1">
      <c r="A864" s="255">
        <f>IF(ИП!$AG$475="",1,0)</f>
        <v>0</v>
      </c>
    </row>
    <row r="865" spans="1:1">
      <c r="A865" s="255">
        <f>IF(ИП!$AG$469="",1,0)</f>
        <v>0</v>
      </c>
    </row>
    <row r="866" spans="1:1">
      <c r="A866" s="255">
        <f>IF(ИП!$AG$463="",1,0)</f>
        <v>0</v>
      </c>
    </row>
    <row r="867" spans="1:1">
      <c r="A867" s="255">
        <f>IF(ИП!$E$580="",1,0)</f>
        <v>0</v>
      </c>
    </row>
    <row r="868" spans="1:1">
      <c r="A868" s="255">
        <f>IF(ИП!$G$580="",1,0)</f>
        <v>0</v>
      </c>
    </row>
    <row r="869" spans="1:1">
      <c r="A869" s="255">
        <f>IF(ИП!$K$580="",1,0)</f>
        <v>0</v>
      </c>
    </row>
    <row r="870" spans="1:1">
      <c r="A870" s="255">
        <f>IF(ИП!$L$580="",1,0)</f>
        <v>0</v>
      </c>
    </row>
    <row r="871" spans="1:1">
      <c r="A871" s="255">
        <f>IF(ИП!$M$580="",1,0)</f>
        <v>0</v>
      </c>
    </row>
    <row r="872" spans="1:1">
      <c r="A872" s="255">
        <f>IF(ИП!$P$581="",1,0)</f>
        <v>0</v>
      </c>
    </row>
    <row r="873" spans="1:1">
      <c r="A873" s="255">
        <f>IF(ИП!$AG$582="",1,0)</f>
        <v>0</v>
      </c>
    </row>
    <row r="874" spans="1:1">
      <c r="A874" s="255">
        <f>IF(ИП!$H$580="",1,0)</f>
        <v>0</v>
      </c>
    </row>
    <row r="875" spans="1:1">
      <c r="A875" s="255">
        <f>IF(ИП!$Q$581="",1,0)</f>
        <v>1</v>
      </c>
    </row>
    <row r="876" spans="1:1">
      <c r="A876" s="255">
        <f>IF(ИП!$E$586="",1,0)</f>
        <v>0</v>
      </c>
    </row>
    <row r="877" spans="1:1">
      <c r="A877" s="255">
        <f>IF(ИП!$G$586="",1,0)</f>
        <v>0</v>
      </c>
    </row>
    <row r="878" spans="1:1">
      <c r="A878" s="255">
        <f>IF(ИП!$K$586="",1,0)</f>
        <v>0</v>
      </c>
    </row>
    <row r="879" spans="1:1">
      <c r="A879" s="255">
        <f>IF(ИП!$L$586="",1,0)</f>
        <v>0</v>
      </c>
    </row>
    <row r="880" spans="1:1">
      <c r="A880" s="255">
        <f>IF(ИП!$M$586="",1,0)</f>
        <v>0</v>
      </c>
    </row>
    <row r="881" spans="1:1">
      <c r="A881" s="255">
        <f>IF(ИП!$P$587="",1,0)</f>
        <v>0</v>
      </c>
    </row>
    <row r="882" spans="1:1">
      <c r="A882" s="255">
        <f>IF(ИП!$AG$588="",1,0)</f>
        <v>0</v>
      </c>
    </row>
    <row r="883" spans="1:1">
      <c r="A883" s="255">
        <f>IF(ИП!$H$586="",1,0)</f>
        <v>0</v>
      </c>
    </row>
    <row r="884" spans="1:1">
      <c r="A884" s="255">
        <f>IF(ИП!$Q$587="",1,0)</f>
        <v>1</v>
      </c>
    </row>
    <row r="885" spans="1:1">
      <c r="A885" s="255">
        <f>IF(ИП!$E$592="",1,0)</f>
        <v>0</v>
      </c>
    </row>
    <row r="886" spans="1:1">
      <c r="A886" s="255">
        <f>IF(ИП!$G$592="",1,0)</f>
        <v>0</v>
      </c>
    </row>
    <row r="887" spans="1:1">
      <c r="A887" s="255">
        <f>IF(ИП!$K$592="",1,0)</f>
        <v>0</v>
      </c>
    </row>
    <row r="888" spans="1:1">
      <c r="A888" s="255">
        <f>IF(ИП!$L$592="",1,0)</f>
        <v>0</v>
      </c>
    </row>
    <row r="889" spans="1:1">
      <c r="A889" s="255">
        <f>IF(ИП!$M$592="",1,0)</f>
        <v>0</v>
      </c>
    </row>
    <row r="890" spans="1:1">
      <c r="A890" s="255">
        <f>IF(ИП!$P$593="",1,0)</f>
        <v>0</v>
      </c>
    </row>
    <row r="891" spans="1:1">
      <c r="A891" s="255">
        <f>IF(ИП!$AG$594="",1,0)</f>
        <v>0</v>
      </c>
    </row>
    <row r="892" spans="1:1">
      <c r="A892" s="255">
        <f>IF(ИП!$H$592="",1,0)</f>
        <v>0</v>
      </c>
    </row>
    <row r="893" spans="1:1">
      <c r="A893" s="255">
        <f>IF(ИП!$Q$593="",1,0)</f>
        <v>1</v>
      </c>
    </row>
    <row r="894" spans="1:1">
      <c r="A894" s="255">
        <f>IF(ИП!$E$598="",1,0)</f>
        <v>0</v>
      </c>
    </row>
    <row r="895" spans="1:1">
      <c r="A895" s="255">
        <f>IF(ИП!$G$598="",1,0)</f>
        <v>0</v>
      </c>
    </row>
    <row r="896" spans="1:1">
      <c r="A896" s="255">
        <f>IF(ИП!$K$598="",1,0)</f>
        <v>0</v>
      </c>
    </row>
    <row r="897" spans="1:1">
      <c r="A897" s="255">
        <f>IF(ИП!$L$598="",1,0)</f>
        <v>0</v>
      </c>
    </row>
    <row r="898" spans="1:1">
      <c r="A898" s="255">
        <f>IF(ИП!$M$598="",1,0)</f>
        <v>0</v>
      </c>
    </row>
    <row r="899" spans="1:1">
      <c r="A899" s="255">
        <f>IF(ИП!$P$599="",1,0)</f>
        <v>0</v>
      </c>
    </row>
    <row r="900" spans="1:1">
      <c r="A900" s="255">
        <f>IF(ИП!$AG$600="",1,0)</f>
        <v>0</v>
      </c>
    </row>
    <row r="901" spans="1:1">
      <c r="A901" s="255">
        <f>IF(ИП!$H$598="",1,0)</f>
        <v>0</v>
      </c>
    </row>
    <row r="902" spans="1:1">
      <c r="A902" s="255">
        <f>IF(ИП!$Q$599="",1,0)</f>
        <v>1</v>
      </c>
    </row>
    <row r="903" spans="1:1">
      <c r="A903" s="255">
        <f>IF(ИП!$E$604="",1,0)</f>
        <v>0</v>
      </c>
    </row>
    <row r="904" spans="1:1">
      <c r="A904" s="255">
        <f>IF(ИП!$G$604="",1,0)</f>
        <v>0</v>
      </c>
    </row>
    <row r="905" spans="1:1">
      <c r="A905" s="255">
        <f>IF(ИП!$K$604="",1,0)</f>
        <v>0</v>
      </c>
    </row>
    <row r="906" spans="1:1">
      <c r="A906" s="255">
        <f>IF(ИП!$L$604="",1,0)</f>
        <v>0</v>
      </c>
    </row>
    <row r="907" spans="1:1">
      <c r="A907" s="255">
        <f>IF(ИП!$M$604="",1,0)</f>
        <v>0</v>
      </c>
    </row>
    <row r="908" spans="1:1">
      <c r="A908" s="255">
        <f>IF(ИП!$P$605="",1,0)</f>
        <v>0</v>
      </c>
    </row>
    <row r="909" spans="1:1">
      <c r="A909" s="255">
        <f>IF(ИП!$AG$606="",1,0)</f>
        <v>0</v>
      </c>
    </row>
    <row r="910" spans="1:1">
      <c r="A910" s="255">
        <f>IF(ИП!$H$604="",1,0)</f>
        <v>0</v>
      </c>
    </row>
    <row r="911" spans="1:1">
      <c r="A911" s="255">
        <f>IF(ИП!$Q$605="",1,0)</f>
        <v>1</v>
      </c>
    </row>
    <row r="912" spans="1:1">
      <c r="A912" s="255">
        <f>IF(ИП!$E$610="",1,0)</f>
        <v>0</v>
      </c>
    </row>
    <row r="913" spans="1:1">
      <c r="A913" s="255">
        <f>IF(ИП!$G$610="",1,0)</f>
        <v>0</v>
      </c>
    </row>
    <row r="914" spans="1:1">
      <c r="A914" s="255">
        <f>IF(ИП!$K$610="",1,0)</f>
        <v>0</v>
      </c>
    </row>
    <row r="915" spans="1:1">
      <c r="A915" s="255">
        <f>IF(ИП!$L$610="",1,0)</f>
        <v>0</v>
      </c>
    </row>
    <row r="916" spans="1:1">
      <c r="A916" s="255">
        <f>IF(ИП!$M$610="",1,0)</f>
        <v>0</v>
      </c>
    </row>
    <row r="917" spans="1:1">
      <c r="A917" s="255">
        <f>IF(ИП!$P$611="",1,0)</f>
        <v>0</v>
      </c>
    </row>
    <row r="918" spans="1:1">
      <c r="A918" s="255">
        <f>IF(ИП!$AG$612="",1,0)</f>
        <v>0</v>
      </c>
    </row>
    <row r="919" spans="1:1">
      <c r="A919" s="255">
        <f>IF(ИП!$H$610="",1,0)</f>
        <v>0</v>
      </c>
    </row>
    <row r="920" spans="1:1">
      <c r="A920" s="255">
        <f>IF(ИП!$Q$611="",1,0)</f>
        <v>1</v>
      </c>
    </row>
    <row r="921" spans="1:1">
      <c r="A921" s="255">
        <f>IF(ИП!$E$616="",1,0)</f>
        <v>0</v>
      </c>
    </row>
    <row r="922" spans="1:1">
      <c r="A922" s="255">
        <f>IF(ИП!$G$616="",1,0)</f>
        <v>0</v>
      </c>
    </row>
    <row r="923" spans="1:1">
      <c r="A923" s="255">
        <f>IF(ИП!$K$616="",1,0)</f>
        <v>0</v>
      </c>
    </row>
    <row r="924" spans="1:1">
      <c r="A924" s="255">
        <f>IF(ИП!$L$616="",1,0)</f>
        <v>0</v>
      </c>
    </row>
    <row r="925" spans="1:1">
      <c r="A925" s="255">
        <f>IF(ИП!$M$616="",1,0)</f>
        <v>0</v>
      </c>
    </row>
    <row r="926" spans="1:1">
      <c r="A926" s="255">
        <f>IF(ИП!$P$617="",1,0)</f>
        <v>0</v>
      </c>
    </row>
    <row r="927" spans="1:1">
      <c r="A927" s="255">
        <f>IF(ИП!$AG$618="",1,0)</f>
        <v>0</v>
      </c>
    </row>
    <row r="928" spans="1:1">
      <c r="A928" s="255">
        <f>IF(ИП!$H$616="",1,0)</f>
        <v>0</v>
      </c>
    </row>
    <row r="929" spans="1:1">
      <c r="A929" s="255">
        <f>IF(ИП!$Q$617="",1,0)</f>
        <v>1</v>
      </c>
    </row>
    <row r="930" spans="1:1">
      <c r="A930" s="255">
        <f>IF(ИП!$E$622="",1,0)</f>
        <v>0</v>
      </c>
    </row>
    <row r="931" spans="1:1">
      <c r="A931" s="255">
        <f>IF(ИП!$G$622="",1,0)</f>
        <v>0</v>
      </c>
    </row>
    <row r="932" spans="1:1">
      <c r="A932" s="255">
        <f>IF(ИП!$K$622="",1,0)</f>
        <v>0</v>
      </c>
    </row>
    <row r="933" spans="1:1">
      <c r="A933" s="255">
        <f>IF(ИП!$L$622="",1,0)</f>
        <v>0</v>
      </c>
    </row>
    <row r="934" spans="1:1">
      <c r="A934" s="255">
        <f>IF(ИП!$M$622="",1,0)</f>
        <v>0</v>
      </c>
    </row>
    <row r="935" spans="1:1">
      <c r="A935" s="255">
        <f>IF(ИП!$P$623="",1,0)</f>
        <v>0</v>
      </c>
    </row>
    <row r="936" spans="1:1">
      <c r="A936" s="255">
        <f>IF(ИП!$AG$624="",1,0)</f>
        <v>0</v>
      </c>
    </row>
    <row r="937" spans="1:1">
      <c r="A937" s="255">
        <f>IF(ИП!$H$622="",1,0)</f>
        <v>0</v>
      </c>
    </row>
    <row r="938" spans="1:1">
      <c r="A938" s="255">
        <f>IF(ИП!$Q$623="",1,0)</f>
        <v>1</v>
      </c>
    </row>
    <row r="939" spans="1:1">
      <c r="A939" s="255">
        <f>IF(ИП!$E$628="",1,0)</f>
        <v>0</v>
      </c>
    </row>
    <row r="940" spans="1:1">
      <c r="A940" s="255">
        <f>IF(ИП!$G$628="",1,0)</f>
        <v>0</v>
      </c>
    </row>
    <row r="941" spans="1:1">
      <c r="A941" s="255">
        <f>IF(ИП!$K$628="",1,0)</f>
        <v>0</v>
      </c>
    </row>
    <row r="942" spans="1:1">
      <c r="A942" s="255">
        <f>IF(ИП!$L$628="",1,0)</f>
        <v>0</v>
      </c>
    </row>
    <row r="943" spans="1:1">
      <c r="A943" s="255">
        <f>IF(ИП!$M$628="",1,0)</f>
        <v>0</v>
      </c>
    </row>
    <row r="944" spans="1:1">
      <c r="A944" s="255">
        <f>IF(ИП!$P$629="",1,0)</f>
        <v>0</v>
      </c>
    </row>
    <row r="945" spans="1:1">
      <c r="A945" s="255">
        <f>IF(ИП!$AG$630="",1,0)</f>
        <v>0</v>
      </c>
    </row>
    <row r="946" spans="1:1">
      <c r="A946" s="255">
        <f>IF(ИП!$H$628="",1,0)</f>
        <v>0</v>
      </c>
    </row>
    <row r="947" spans="1:1">
      <c r="A947" s="255">
        <f>IF(ИП!$Q$629="",1,0)</f>
        <v>1</v>
      </c>
    </row>
    <row r="948" spans="1:1">
      <c r="A948" s="255">
        <f>IF(ИП!$E$634="",1,0)</f>
        <v>0</v>
      </c>
    </row>
    <row r="949" spans="1:1">
      <c r="A949" s="255">
        <f>IF(ИП!$G$634="",1,0)</f>
        <v>0</v>
      </c>
    </row>
    <row r="950" spans="1:1">
      <c r="A950" s="255">
        <f>IF(ИП!$K$634="",1,0)</f>
        <v>0</v>
      </c>
    </row>
    <row r="951" spans="1:1">
      <c r="A951" s="255">
        <f>IF(ИП!$L$634="",1,0)</f>
        <v>0</v>
      </c>
    </row>
    <row r="952" spans="1:1">
      <c r="A952" s="255">
        <f>IF(ИП!$M$634="",1,0)</f>
        <v>0</v>
      </c>
    </row>
    <row r="953" spans="1:1">
      <c r="A953" s="255">
        <f>IF(ИП!$P$635="",1,0)</f>
        <v>0</v>
      </c>
    </row>
    <row r="954" spans="1:1">
      <c r="A954" s="255">
        <f>IF(ИП!$AG$636="",1,0)</f>
        <v>0</v>
      </c>
    </row>
    <row r="955" spans="1:1">
      <c r="A955" s="255">
        <f>IF(ИП!$H$634="",1,0)</f>
        <v>0</v>
      </c>
    </row>
    <row r="956" spans="1:1">
      <c r="A956" s="255">
        <f>IF(ИП!$Q$635="",1,0)</f>
        <v>1</v>
      </c>
    </row>
    <row r="957" spans="1:1">
      <c r="A957" s="255">
        <f>IF(ИП!$E$640="",1,0)</f>
        <v>0</v>
      </c>
    </row>
    <row r="958" spans="1:1">
      <c r="A958" s="255">
        <f>IF(ИП!$G$640="",1,0)</f>
        <v>0</v>
      </c>
    </row>
    <row r="959" spans="1:1">
      <c r="A959" s="255">
        <f>IF(ИП!$K$640="",1,0)</f>
        <v>0</v>
      </c>
    </row>
    <row r="960" spans="1:1">
      <c r="A960" s="255">
        <f>IF(ИП!$L$640="",1,0)</f>
        <v>0</v>
      </c>
    </row>
    <row r="961" spans="1:1">
      <c r="A961" s="255">
        <f>IF(ИП!$M$640="",1,0)</f>
        <v>0</v>
      </c>
    </row>
    <row r="962" spans="1:1">
      <c r="A962" s="255">
        <f>IF(ИП!$P$641="",1,0)</f>
        <v>0</v>
      </c>
    </row>
    <row r="963" spans="1:1">
      <c r="A963" s="255">
        <f>IF(ИП!$AG$642="",1,0)</f>
        <v>0</v>
      </c>
    </row>
    <row r="964" spans="1:1">
      <c r="A964" s="255">
        <f>IF(ИП!$H$640="",1,0)</f>
        <v>0</v>
      </c>
    </row>
    <row r="965" spans="1:1">
      <c r="A965" s="255">
        <f>IF(ИП!$Q$641="",1,0)</f>
        <v>1</v>
      </c>
    </row>
    <row r="966" spans="1:1">
      <c r="A966" s="255">
        <f>IF(ИП!$E$646="",1,0)</f>
        <v>0</v>
      </c>
    </row>
    <row r="967" spans="1:1">
      <c r="A967" s="255">
        <f>IF(ИП!$G$646="",1,0)</f>
        <v>0</v>
      </c>
    </row>
    <row r="968" spans="1:1">
      <c r="A968" s="255">
        <f>IF(ИП!$K$646="",1,0)</f>
        <v>0</v>
      </c>
    </row>
    <row r="969" spans="1:1">
      <c r="A969" s="255">
        <f>IF(ИП!$L$646="",1,0)</f>
        <v>0</v>
      </c>
    </row>
    <row r="970" spans="1:1">
      <c r="A970" s="255">
        <f>IF(ИП!$M$646="",1,0)</f>
        <v>0</v>
      </c>
    </row>
    <row r="971" spans="1:1">
      <c r="A971" s="255">
        <f>IF(ИП!$P$647="",1,0)</f>
        <v>0</v>
      </c>
    </row>
    <row r="972" spans="1:1">
      <c r="A972" s="255">
        <f>IF(ИП!$AG$648="",1,0)</f>
        <v>0</v>
      </c>
    </row>
    <row r="973" spans="1:1">
      <c r="A973" s="255">
        <f>IF(ИП!$H$646="",1,0)</f>
        <v>0</v>
      </c>
    </row>
    <row r="974" spans="1:1">
      <c r="A974" s="255">
        <f>IF(ИП!$Q$647="",1,0)</f>
        <v>1</v>
      </c>
    </row>
    <row r="975" spans="1:1">
      <c r="A975" s="255">
        <f>IF(ИП!$E$652="",1,0)</f>
        <v>0</v>
      </c>
    </row>
    <row r="976" spans="1:1">
      <c r="A976" s="255">
        <f>IF(ИП!$G$652="",1,0)</f>
        <v>0</v>
      </c>
    </row>
    <row r="977" spans="1:1">
      <c r="A977" s="255">
        <f>IF(ИП!$K$652="",1,0)</f>
        <v>0</v>
      </c>
    </row>
    <row r="978" spans="1:1">
      <c r="A978" s="255">
        <f>IF(ИП!$L$652="",1,0)</f>
        <v>0</v>
      </c>
    </row>
    <row r="979" spans="1:1">
      <c r="A979" s="255">
        <f>IF(ИП!$M$652="",1,0)</f>
        <v>0</v>
      </c>
    </row>
    <row r="980" spans="1:1">
      <c r="A980" s="255">
        <f>IF(ИП!$P$653="",1,0)</f>
        <v>0</v>
      </c>
    </row>
    <row r="981" spans="1:1">
      <c r="A981" s="255">
        <f>IF(ИП!$AG$654="",1,0)</f>
        <v>0</v>
      </c>
    </row>
    <row r="982" spans="1:1">
      <c r="A982" s="255">
        <f>IF(ИП!$H$652="",1,0)</f>
        <v>0</v>
      </c>
    </row>
    <row r="983" spans="1:1">
      <c r="A983" s="255">
        <f>IF(ИП!$Q$653="",1,0)</f>
        <v>1</v>
      </c>
    </row>
    <row r="984" spans="1:1">
      <c r="A984" s="255">
        <f>IF(ИП!$E$658="",1,0)</f>
        <v>0</v>
      </c>
    </row>
    <row r="985" spans="1:1">
      <c r="A985" s="255">
        <f>IF(ИП!$G$658="",1,0)</f>
        <v>0</v>
      </c>
    </row>
    <row r="986" spans="1:1">
      <c r="A986" s="255">
        <f>IF(ИП!$K$658="",1,0)</f>
        <v>0</v>
      </c>
    </row>
    <row r="987" spans="1:1">
      <c r="A987" s="255">
        <f>IF(ИП!$L$658="",1,0)</f>
        <v>0</v>
      </c>
    </row>
    <row r="988" spans="1:1">
      <c r="A988" s="255">
        <f>IF(ИП!$M$658="",1,0)</f>
        <v>0</v>
      </c>
    </row>
    <row r="989" spans="1:1">
      <c r="A989" s="255">
        <f>IF(ИП!$P$659="",1,0)</f>
        <v>0</v>
      </c>
    </row>
    <row r="990" spans="1:1">
      <c r="A990" s="255">
        <f>IF(ИП!$AG$660="",1,0)</f>
        <v>0</v>
      </c>
    </row>
    <row r="991" spans="1:1">
      <c r="A991" s="255">
        <f>IF(ИП!$H$658="",1,0)</f>
        <v>0</v>
      </c>
    </row>
    <row r="992" spans="1:1">
      <c r="A992" s="255">
        <f>IF(ИП!$Q$659="",1,0)</f>
        <v>1</v>
      </c>
    </row>
    <row r="993" spans="1:1">
      <c r="A993" s="255">
        <f>IF(ИП!$E$664="",1,0)</f>
        <v>0</v>
      </c>
    </row>
    <row r="994" spans="1:1">
      <c r="A994" s="255">
        <f>IF(ИП!$G$664="",1,0)</f>
        <v>0</v>
      </c>
    </row>
    <row r="995" spans="1:1">
      <c r="A995" s="255">
        <f>IF(ИП!$K$664="",1,0)</f>
        <v>0</v>
      </c>
    </row>
    <row r="996" spans="1:1">
      <c r="A996" s="255">
        <f>IF(ИП!$L$664="",1,0)</f>
        <v>0</v>
      </c>
    </row>
    <row r="997" spans="1:1">
      <c r="A997" s="255">
        <f>IF(ИП!$M$664="",1,0)</f>
        <v>0</v>
      </c>
    </row>
    <row r="998" spans="1:1">
      <c r="A998" s="255">
        <f>IF(ИП!$P$665="",1,0)</f>
        <v>0</v>
      </c>
    </row>
    <row r="999" spans="1:1">
      <c r="A999" s="255">
        <f>IF(ИП!$AG$666="",1,0)</f>
        <v>0</v>
      </c>
    </row>
    <row r="1000" spans="1:1">
      <c r="A1000" s="255">
        <f>IF(ИП!$H$664="",1,0)</f>
        <v>0</v>
      </c>
    </row>
    <row r="1001" spans="1:1">
      <c r="A1001" s="255">
        <f>IF(ИП!$Q$665="",1,0)</f>
        <v>1</v>
      </c>
    </row>
    <row r="1002" spans="1:1">
      <c r="A1002" s="255">
        <f>IF(ИП!$E$670="",1,0)</f>
        <v>0</v>
      </c>
    </row>
    <row r="1003" spans="1:1">
      <c r="A1003" s="255">
        <f>IF(ИП!$G$670="",1,0)</f>
        <v>0</v>
      </c>
    </row>
    <row r="1004" spans="1:1">
      <c r="A1004" s="255">
        <f>IF(ИП!$K$670="",1,0)</f>
        <v>0</v>
      </c>
    </row>
    <row r="1005" spans="1:1">
      <c r="A1005" s="255">
        <f>IF(ИП!$L$670="",1,0)</f>
        <v>0</v>
      </c>
    </row>
    <row r="1006" spans="1:1">
      <c r="A1006" s="255">
        <f>IF(ИП!$M$670="",1,0)</f>
        <v>0</v>
      </c>
    </row>
    <row r="1007" spans="1:1">
      <c r="A1007" s="255">
        <f>IF(ИП!$P$671="",1,0)</f>
        <v>0</v>
      </c>
    </row>
    <row r="1008" spans="1:1">
      <c r="A1008" s="255">
        <f>IF(ИП!$AG$672="",1,0)</f>
        <v>0</v>
      </c>
    </row>
    <row r="1009" spans="1:1">
      <c r="A1009" s="255">
        <f>IF(ИП!$H$670="",1,0)</f>
        <v>0</v>
      </c>
    </row>
    <row r="1010" spans="1:1">
      <c r="A1010" s="255">
        <f>IF(ИП!$Q$671="",1,0)</f>
        <v>1</v>
      </c>
    </row>
    <row r="1011" spans="1:1">
      <c r="A1011" s="255">
        <f>IF(ИП!$E$676="",1,0)</f>
        <v>0</v>
      </c>
    </row>
    <row r="1012" spans="1:1">
      <c r="A1012" s="255">
        <f>IF(ИП!$G$676="",1,0)</f>
        <v>0</v>
      </c>
    </row>
    <row r="1013" spans="1:1">
      <c r="A1013" s="255">
        <f>IF(ИП!$K$676="",1,0)</f>
        <v>0</v>
      </c>
    </row>
    <row r="1014" spans="1:1">
      <c r="A1014" s="255">
        <f>IF(ИП!$L$676="",1,0)</f>
        <v>0</v>
      </c>
    </row>
    <row r="1015" spans="1:1">
      <c r="A1015" s="255">
        <f>IF(ИП!$M$676="",1,0)</f>
        <v>0</v>
      </c>
    </row>
    <row r="1016" spans="1:1">
      <c r="A1016" s="255">
        <f>IF(ИП!$P$677="",1,0)</f>
        <v>0</v>
      </c>
    </row>
    <row r="1017" spans="1:1">
      <c r="A1017" s="255">
        <f>IF(ИП!$AG$678="",1,0)</f>
        <v>0</v>
      </c>
    </row>
    <row r="1018" spans="1:1">
      <c r="A1018" s="255">
        <f>IF(ИП!$H$676="",1,0)</f>
        <v>0</v>
      </c>
    </row>
    <row r="1019" spans="1:1">
      <c r="A1019" s="255">
        <f>IF(ИП!$Q$677="",1,0)</f>
        <v>1</v>
      </c>
    </row>
    <row r="1020" spans="1:1">
      <c r="A1020" s="255">
        <f>IF(ИП!$E$682="",1,0)</f>
        <v>0</v>
      </c>
    </row>
    <row r="1021" spans="1:1">
      <c r="A1021" s="255">
        <f>IF(ИП!$G$682="",1,0)</f>
        <v>0</v>
      </c>
    </row>
    <row r="1022" spans="1:1">
      <c r="A1022" s="255">
        <f>IF(ИП!$K$682="",1,0)</f>
        <v>0</v>
      </c>
    </row>
    <row r="1023" spans="1:1">
      <c r="A1023" s="255">
        <f>IF(ИП!$L$682="",1,0)</f>
        <v>0</v>
      </c>
    </row>
    <row r="1024" spans="1:1">
      <c r="A1024" s="255">
        <f>IF(ИП!$M$682="",1,0)</f>
        <v>0</v>
      </c>
    </row>
    <row r="1025" spans="1:1">
      <c r="A1025" s="255">
        <f>IF(ИП!$P$683="",1,0)</f>
        <v>0</v>
      </c>
    </row>
    <row r="1026" spans="1:1">
      <c r="A1026" s="255">
        <f>IF(ИП!$AG$684="",1,0)</f>
        <v>0</v>
      </c>
    </row>
    <row r="1027" spans="1:1">
      <c r="A1027" s="255">
        <f>IF(ИП!$H$682="",1,0)</f>
        <v>0</v>
      </c>
    </row>
    <row r="1028" spans="1:1">
      <c r="A1028" s="255">
        <f>IF(ИП!$Q$683="",1,0)</f>
        <v>1</v>
      </c>
    </row>
    <row r="1029" spans="1:1">
      <c r="A1029" s="255">
        <f>IF(ИП!$E$688="",1,0)</f>
        <v>0</v>
      </c>
    </row>
    <row r="1030" spans="1:1">
      <c r="A1030" s="255">
        <f>IF(ИП!$G$688="",1,0)</f>
        <v>0</v>
      </c>
    </row>
    <row r="1031" spans="1:1">
      <c r="A1031" s="255">
        <f>IF(ИП!$K$688="",1,0)</f>
        <v>0</v>
      </c>
    </row>
    <row r="1032" spans="1:1">
      <c r="A1032" s="255">
        <f>IF(ИП!$L$688="",1,0)</f>
        <v>0</v>
      </c>
    </row>
    <row r="1033" spans="1:1">
      <c r="A1033" s="255">
        <f>IF(ИП!$M$688="",1,0)</f>
        <v>0</v>
      </c>
    </row>
    <row r="1034" spans="1:1">
      <c r="A1034" s="255">
        <f>IF(ИП!$P$689="",1,0)</f>
        <v>0</v>
      </c>
    </row>
    <row r="1035" spans="1:1">
      <c r="A1035" s="255">
        <f>IF(ИП!$AG$690="",1,0)</f>
        <v>0</v>
      </c>
    </row>
    <row r="1036" spans="1:1">
      <c r="A1036" s="255">
        <f>IF(ИП!$H$688="",1,0)</f>
        <v>0</v>
      </c>
    </row>
    <row r="1037" spans="1:1">
      <c r="A1037" s="255">
        <f>IF(ИП!$Q$689="",1,0)</f>
        <v>1</v>
      </c>
    </row>
    <row r="1038" spans="1:1">
      <c r="A1038" s="255">
        <f>IF(ИП!$E$694="",1,0)</f>
        <v>0</v>
      </c>
    </row>
    <row r="1039" spans="1:1">
      <c r="A1039" s="255">
        <f>IF(ИП!$G$694="",1,0)</f>
        <v>0</v>
      </c>
    </row>
    <row r="1040" spans="1:1">
      <c r="A1040" s="255">
        <f>IF(ИП!$K$694="",1,0)</f>
        <v>0</v>
      </c>
    </row>
    <row r="1041" spans="1:1">
      <c r="A1041" s="255">
        <f>IF(ИП!$L$694="",1,0)</f>
        <v>0</v>
      </c>
    </row>
    <row r="1042" spans="1:1">
      <c r="A1042" s="255">
        <f>IF(ИП!$M$694="",1,0)</f>
        <v>0</v>
      </c>
    </row>
    <row r="1043" spans="1:1">
      <c r="A1043" s="255">
        <f>IF(ИП!$P$695="",1,0)</f>
        <v>0</v>
      </c>
    </row>
    <row r="1044" spans="1:1">
      <c r="A1044" s="255">
        <f>IF(ИП!$AG$696="",1,0)</f>
        <v>0</v>
      </c>
    </row>
    <row r="1045" spans="1:1">
      <c r="A1045" s="255">
        <f>IF(ИП!$H$694="",1,0)</f>
        <v>0</v>
      </c>
    </row>
    <row r="1046" spans="1:1">
      <c r="A1046" s="255">
        <f>IF(ИП!$Q$695="",1,0)</f>
        <v>1</v>
      </c>
    </row>
    <row r="1047" spans="1:1">
      <c r="A1047" s="255">
        <f>IF(ИП!$AG$583="",1,0)</f>
        <v>0</v>
      </c>
    </row>
    <row r="1048" spans="1:1">
      <c r="A1048" s="255">
        <f>IF(ИП!$AG$589="",1,0)</f>
        <v>0</v>
      </c>
    </row>
    <row r="1049" spans="1:1">
      <c r="A1049" s="255">
        <f>IF(ИП!$AG$595="",1,0)</f>
        <v>0</v>
      </c>
    </row>
    <row r="1050" spans="1:1">
      <c r="A1050" s="255">
        <f>IF(ИП!$AG$601="",1,0)</f>
        <v>0</v>
      </c>
    </row>
    <row r="1051" spans="1:1">
      <c r="A1051" s="255">
        <f>IF(ИП!$AG$607="",1,0)</f>
        <v>0</v>
      </c>
    </row>
    <row r="1052" spans="1:1">
      <c r="A1052" s="255">
        <f>IF(ИП!$AG$613="",1,0)</f>
        <v>0</v>
      </c>
    </row>
    <row r="1053" spans="1:1">
      <c r="A1053" s="255">
        <f>IF(ИП!$AG$619="",1,0)</f>
        <v>0</v>
      </c>
    </row>
    <row r="1054" spans="1:1">
      <c r="A1054" s="255">
        <f>IF(ИП!$AG$625="",1,0)</f>
        <v>0</v>
      </c>
    </row>
    <row r="1055" spans="1:1">
      <c r="A1055" s="255">
        <f>IF(ИП!$AG$631="",1,0)</f>
        <v>0</v>
      </c>
    </row>
    <row r="1056" spans="1:1">
      <c r="A1056" s="255">
        <f>IF(ИП!$AG$637="",1,0)</f>
        <v>0</v>
      </c>
    </row>
    <row r="1057" spans="1:1">
      <c r="A1057" s="255">
        <f>IF(ИП!$AG$643="",1,0)</f>
        <v>0</v>
      </c>
    </row>
    <row r="1058" spans="1:1">
      <c r="A1058" s="255">
        <f>IF(ИП!$AG$649="",1,0)</f>
        <v>0</v>
      </c>
    </row>
    <row r="1059" spans="1:1">
      <c r="A1059" s="255">
        <f>IF(ИП!$AG$655="",1,0)</f>
        <v>0</v>
      </c>
    </row>
    <row r="1060" spans="1:1">
      <c r="A1060" s="255">
        <f>IF(ИП!$AG$661="",1,0)</f>
        <v>0</v>
      </c>
    </row>
    <row r="1061" spans="1:1">
      <c r="A1061" s="255">
        <f>IF(ИП!$AG$667="",1,0)</f>
        <v>0</v>
      </c>
    </row>
    <row r="1062" spans="1:1">
      <c r="A1062" s="255">
        <f>IF(ИП!$AG$673="",1,0)</f>
        <v>0</v>
      </c>
    </row>
    <row r="1063" spans="1:1">
      <c r="A1063" s="255">
        <f>IF(ИП!$AG$679="",1,0)</f>
        <v>0</v>
      </c>
    </row>
    <row r="1064" spans="1:1">
      <c r="A1064" s="255">
        <f>IF(ИП!$AG$685="",1,0)</f>
        <v>0</v>
      </c>
    </row>
    <row r="1065" spans="1:1">
      <c r="A1065" s="255">
        <f>IF(ИП!$AG$691="",1,0)</f>
        <v>0</v>
      </c>
    </row>
    <row r="1066" spans="1:1">
      <c r="A1066" s="255">
        <f>IF(ИП!$AG$697="",1,0)</f>
        <v>0</v>
      </c>
    </row>
    <row r="1067" spans="1:1">
      <c r="A1067" s="255">
        <f>IF(ИП!$E$700="",1,0)</f>
        <v>0</v>
      </c>
    </row>
    <row r="1068" spans="1:1">
      <c r="A1068" s="255">
        <f>IF(ИП!$G$700="",1,0)</f>
        <v>0</v>
      </c>
    </row>
    <row r="1069" spans="1:1">
      <c r="A1069" s="255">
        <f>IF(ИП!$K$700="",1,0)</f>
        <v>0</v>
      </c>
    </row>
    <row r="1070" spans="1:1">
      <c r="A1070" s="255">
        <f>IF(ИП!$L$700="",1,0)</f>
        <v>0</v>
      </c>
    </row>
    <row r="1071" spans="1:1">
      <c r="A1071" s="255">
        <f>IF(ИП!$M$700="",1,0)</f>
        <v>0</v>
      </c>
    </row>
    <row r="1072" spans="1:1">
      <c r="A1072" s="255">
        <f>IF(ИП!$P$701="",1,0)</f>
        <v>0</v>
      </c>
    </row>
    <row r="1073" spans="1:1">
      <c r="A1073" s="255">
        <f>IF(ИП!$AG$702="",1,0)</f>
        <v>0</v>
      </c>
    </row>
    <row r="1074" spans="1:1">
      <c r="A1074" s="255">
        <f>IF(ИП!$H$700="",1,0)</f>
        <v>0</v>
      </c>
    </row>
    <row r="1075" spans="1:1">
      <c r="A1075" s="255">
        <f>IF(ИП!$Q$701="",1,0)</f>
        <v>1</v>
      </c>
    </row>
    <row r="1076" spans="1:1">
      <c r="A1076" s="255">
        <f>IF(ИП!$E$706="",1,0)</f>
        <v>0</v>
      </c>
    </row>
    <row r="1077" spans="1:1">
      <c r="A1077" s="255">
        <f>IF(ИП!$G$706="",1,0)</f>
        <v>0</v>
      </c>
    </row>
    <row r="1078" spans="1:1">
      <c r="A1078" s="255">
        <f>IF(ИП!$K$706="",1,0)</f>
        <v>0</v>
      </c>
    </row>
    <row r="1079" spans="1:1">
      <c r="A1079" s="255">
        <f>IF(ИП!$L$706="",1,0)</f>
        <v>0</v>
      </c>
    </row>
    <row r="1080" spans="1:1">
      <c r="A1080" s="255">
        <f>IF(ИП!$M$706="",1,0)</f>
        <v>0</v>
      </c>
    </row>
    <row r="1081" spans="1:1">
      <c r="A1081" s="255">
        <f>IF(ИП!$P$707="",1,0)</f>
        <v>0</v>
      </c>
    </row>
    <row r="1082" spans="1:1">
      <c r="A1082" s="255">
        <f>IF(ИП!$AG$708="",1,0)</f>
        <v>0</v>
      </c>
    </row>
    <row r="1083" spans="1:1">
      <c r="A1083" s="255">
        <f>IF(ИП!$H$706="",1,0)</f>
        <v>0</v>
      </c>
    </row>
    <row r="1084" spans="1:1">
      <c r="A1084" s="255">
        <f>IF(ИП!$Q$707="",1,0)</f>
        <v>1</v>
      </c>
    </row>
    <row r="1085" spans="1:1">
      <c r="A1085" s="255">
        <f>IF(ИП!$E$712="",1,0)</f>
        <v>0</v>
      </c>
    </row>
    <row r="1086" spans="1:1">
      <c r="A1086" s="255">
        <f>IF(ИП!$G$712="",1,0)</f>
        <v>0</v>
      </c>
    </row>
    <row r="1087" spans="1:1">
      <c r="A1087" s="255">
        <f>IF(ИП!$K$712="",1,0)</f>
        <v>0</v>
      </c>
    </row>
    <row r="1088" spans="1:1">
      <c r="A1088" s="255">
        <f>IF(ИП!$L$712="",1,0)</f>
        <v>0</v>
      </c>
    </row>
    <row r="1089" spans="1:1">
      <c r="A1089" s="255">
        <f>IF(ИП!$M$712="",1,0)</f>
        <v>0</v>
      </c>
    </row>
    <row r="1090" spans="1:1">
      <c r="A1090" s="255">
        <f>IF(ИП!$P$713="",1,0)</f>
        <v>0</v>
      </c>
    </row>
    <row r="1091" spans="1:1">
      <c r="A1091" s="255">
        <f>IF(ИП!$AG$714="",1,0)</f>
        <v>0</v>
      </c>
    </row>
    <row r="1092" spans="1:1">
      <c r="A1092" s="255">
        <f>IF(ИП!$H$712="",1,0)</f>
        <v>0</v>
      </c>
    </row>
    <row r="1093" spans="1:1">
      <c r="A1093" s="255">
        <f>IF(ИП!$Q$713="",1,0)</f>
        <v>1</v>
      </c>
    </row>
    <row r="1094" spans="1:1">
      <c r="A1094" s="255">
        <f>IF(ИП!$E$718="",1,0)</f>
        <v>0</v>
      </c>
    </row>
    <row r="1095" spans="1:1">
      <c r="A1095" s="255">
        <f>IF(ИП!$G$718="",1,0)</f>
        <v>0</v>
      </c>
    </row>
    <row r="1096" spans="1:1">
      <c r="A1096" s="255">
        <f>IF(ИП!$K$718="",1,0)</f>
        <v>0</v>
      </c>
    </row>
    <row r="1097" spans="1:1">
      <c r="A1097" s="255">
        <f>IF(ИП!$L$718="",1,0)</f>
        <v>0</v>
      </c>
    </row>
    <row r="1098" spans="1:1">
      <c r="A1098" s="255">
        <f>IF(ИП!$M$718="",1,0)</f>
        <v>0</v>
      </c>
    </row>
    <row r="1099" spans="1:1">
      <c r="A1099" s="255">
        <f>IF(ИП!$P$719="",1,0)</f>
        <v>0</v>
      </c>
    </row>
    <row r="1100" spans="1:1">
      <c r="A1100" s="255">
        <f>IF(ИП!$AG$720="",1,0)</f>
        <v>0</v>
      </c>
    </row>
    <row r="1101" spans="1:1">
      <c r="A1101" s="255">
        <f>IF(ИП!$H$718="",1,0)</f>
        <v>0</v>
      </c>
    </row>
    <row r="1102" spans="1:1">
      <c r="A1102" s="255">
        <f>IF(ИП!$Q$719="",1,0)</f>
        <v>1</v>
      </c>
    </row>
    <row r="1103" spans="1:1">
      <c r="A1103" s="255">
        <f>IF(ИП!$E$724="",1,0)</f>
        <v>0</v>
      </c>
    </row>
    <row r="1104" spans="1:1">
      <c r="A1104" s="255">
        <f>IF(ИП!$G$724="",1,0)</f>
        <v>0</v>
      </c>
    </row>
    <row r="1105" spans="1:1">
      <c r="A1105" s="255">
        <f>IF(ИП!$K$724="",1,0)</f>
        <v>0</v>
      </c>
    </row>
    <row r="1106" spans="1:1">
      <c r="A1106" s="255">
        <f>IF(ИП!$L$724="",1,0)</f>
        <v>0</v>
      </c>
    </row>
    <row r="1107" spans="1:1">
      <c r="A1107" s="255">
        <f>IF(ИП!$M$724="",1,0)</f>
        <v>0</v>
      </c>
    </row>
    <row r="1108" spans="1:1">
      <c r="A1108" s="255">
        <f>IF(ИП!$P$725="",1,0)</f>
        <v>0</v>
      </c>
    </row>
    <row r="1109" spans="1:1">
      <c r="A1109" s="255">
        <f>IF(ИП!$AG$726="",1,0)</f>
        <v>0</v>
      </c>
    </row>
    <row r="1110" spans="1:1">
      <c r="A1110" s="255">
        <f>IF(ИП!$H$724="",1,0)</f>
        <v>0</v>
      </c>
    </row>
    <row r="1111" spans="1:1">
      <c r="A1111" s="255">
        <f>IF(ИП!$Q$725="",1,0)</f>
        <v>1</v>
      </c>
    </row>
    <row r="1112" spans="1:1">
      <c r="A1112" s="255">
        <f>IF(ИП!$E$730="",1,0)</f>
        <v>0</v>
      </c>
    </row>
    <row r="1113" spans="1:1">
      <c r="A1113" s="255">
        <f>IF(ИП!$G$730="",1,0)</f>
        <v>0</v>
      </c>
    </row>
    <row r="1114" spans="1:1">
      <c r="A1114" s="255">
        <f>IF(ИП!$K$730="",1,0)</f>
        <v>0</v>
      </c>
    </row>
    <row r="1115" spans="1:1">
      <c r="A1115" s="255">
        <f>IF(ИП!$L$730="",1,0)</f>
        <v>0</v>
      </c>
    </row>
    <row r="1116" spans="1:1">
      <c r="A1116" s="255">
        <f>IF(ИП!$M$730="",1,0)</f>
        <v>0</v>
      </c>
    </row>
    <row r="1117" spans="1:1">
      <c r="A1117" s="255">
        <f>IF(ИП!$P$731="",1,0)</f>
        <v>0</v>
      </c>
    </row>
    <row r="1118" spans="1:1">
      <c r="A1118" s="255">
        <f>IF(ИП!$AG$732="",1,0)</f>
        <v>0</v>
      </c>
    </row>
    <row r="1119" spans="1:1">
      <c r="A1119" s="255">
        <f>IF(ИП!$H$730="",1,0)</f>
        <v>0</v>
      </c>
    </row>
    <row r="1120" spans="1:1">
      <c r="A1120" s="255">
        <f>IF(ИП!$Q$731="",1,0)</f>
        <v>1</v>
      </c>
    </row>
    <row r="1121" spans="1:1">
      <c r="A1121" s="255">
        <f>IF(ИП!$E$736="",1,0)</f>
        <v>0</v>
      </c>
    </row>
    <row r="1122" spans="1:1">
      <c r="A1122" s="255">
        <f>IF(ИП!$G$736="",1,0)</f>
        <v>0</v>
      </c>
    </row>
    <row r="1123" spans="1:1">
      <c r="A1123" s="255">
        <f>IF(ИП!$K$736="",1,0)</f>
        <v>0</v>
      </c>
    </row>
    <row r="1124" spans="1:1">
      <c r="A1124" s="255">
        <f>IF(ИП!$L$736="",1,0)</f>
        <v>0</v>
      </c>
    </row>
    <row r="1125" spans="1:1">
      <c r="A1125" s="255">
        <f>IF(ИП!$M$736="",1,0)</f>
        <v>0</v>
      </c>
    </row>
    <row r="1126" spans="1:1">
      <c r="A1126" s="255">
        <f>IF(ИП!$P$737="",1,0)</f>
        <v>0</v>
      </c>
    </row>
    <row r="1127" spans="1:1">
      <c r="A1127" s="255">
        <f>IF(ИП!$AG$738="",1,0)</f>
        <v>0</v>
      </c>
    </row>
    <row r="1128" spans="1:1">
      <c r="A1128" s="255">
        <f>IF(ИП!$H$736="",1,0)</f>
        <v>0</v>
      </c>
    </row>
    <row r="1129" spans="1:1">
      <c r="A1129" s="255">
        <f>IF(ИП!$Q$737="",1,0)</f>
        <v>1</v>
      </c>
    </row>
    <row r="1130" spans="1:1">
      <c r="A1130" s="255">
        <f>IF(ИП!$E$742="",1,0)</f>
        <v>0</v>
      </c>
    </row>
    <row r="1131" spans="1:1">
      <c r="A1131" s="255">
        <f>IF(ИП!$G$742="",1,0)</f>
        <v>0</v>
      </c>
    </row>
    <row r="1132" spans="1:1">
      <c r="A1132" s="255">
        <f>IF(ИП!$K$742="",1,0)</f>
        <v>0</v>
      </c>
    </row>
    <row r="1133" spans="1:1">
      <c r="A1133" s="255">
        <f>IF(ИП!$L$742="",1,0)</f>
        <v>0</v>
      </c>
    </row>
    <row r="1134" spans="1:1">
      <c r="A1134" s="255">
        <f>IF(ИП!$M$742="",1,0)</f>
        <v>0</v>
      </c>
    </row>
    <row r="1135" spans="1:1">
      <c r="A1135" s="255">
        <f>IF(ИП!$P$743="",1,0)</f>
        <v>0</v>
      </c>
    </row>
    <row r="1136" spans="1:1">
      <c r="A1136" s="255">
        <f>IF(ИП!$AG$744="",1,0)</f>
        <v>0</v>
      </c>
    </row>
    <row r="1137" spans="1:1">
      <c r="A1137" s="255">
        <f>IF(ИП!$H$742="",1,0)</f>
        <v>0</v>
      </c>
    </row>
    <row r="1138" spans="1:1">
      <c r="A1138" s="255">
        <f>IF(ИП!$Q$743="",1,0)</f>
        <v>1</v>
      </c>
    </row>
    <row r="1139" spans="1:1">
      <c r="A1139" s="255">
        <f>IF(ИП!$E$748="",1,0)</f>
        <v>0</v>
      </c>
    </row>
    <row r="1140" spans="1:1">
      <c r="A1140" s="255">
        <f>IF(ИП!$G$748="",1,0)</f>
        <v>0</v>
      </c>
    </row>
    <row r="1141" spans="1:1">
      <c r="A1141" s="255">
        <f>IF(ИП!$K$748="",1,0)</f>
        <v>0</v>
      </c>
    </row>
    <row r="1142" spans="1:1">
      <c r="A1142" s="255">
        <f>IF(ИП!$L$748="",1,0)</f>
        <v>0</v>
      </c>
    </row>
    <row r="1143" spans="1:1">
      <c r="A1143" s="255">
        <f>IF(ИП!$M$748="",1,0)</f>
        <v>0</v>
      </c>
    </row>
    <row r="1144" spans="1:1">
      <c r="A1144" s="255">
        <f>IF(ИП!$P$749="",1,0)</f>
        <v>0</v>
      </c>
    </row>
    <row r="1145" spans="1:1">
      <c r="A1145" s="255">
        <f>IF(ИП!$AG$750="",1,0)</f>
        <v>0</v>
      </c>
    </row>
    <row r="1146" spans="1:1">
      <c r="A1146" s="255">
        <f>IF(ИП!$H$748="",1,0)</f>
        <v>0</v>
      </c>
    </row>
    <row r="1147" spans="1:1">
      <c r="A1147" s="255">
        <f>IF(ИП!$Q$749="",1,0)</f>
        <v>1</v>
      </c>
    </row>
    <row r="1148" spans="1:1">
      <c r="A1148" s="255">
        <f>IF(ИП!$E$754="",1,0)</f>
        <v>0</v>
      </c>
    </row>
    <row r="1149" spans="1:1">
      <c r="A1149" s="255">
        <f>IF(ИП!$G$754="",1,0)</f>
        <v>0</v>
      </c>
    </row>
    <row r="1150" spans="1:1">
      <c r="A1150" s="255">
        <f>IF(ИП!$K$754="",1,0)</f>
        <v>0</v>
      </c>
    </row>
    <row r="1151" spans="1:1">
      <c r="A1151" s="255">
        <f>IF(ИП!$L$754="",1,0)</f>
        <v>0</v>
      </c>
    </row>
    <row r="1152" spans="1:1">
      <c r="A1152" s="255">
        <f>IF(ИП!$M$754="",1,0)</f>
        <v>0</v>
      </c>
    </row>
    <row r="1153" spans="1:1">
      <c r="A1153" s="255">
        <f>IF(ИП!$P$755="",1,0)</f>
        <v>0</v>
      </c>
    </row>
    <row r="1154" spans="1:1">
      <c r="A1154" s="255">
        <f>IF(ИП!$AG$756="",1,0)</f>
        <v>0</v>
      </c>
    </row>
    <row r="1155" spans="1:1">
      <c r="A1155" s="255">
        <f>IF(ИП!$H$754="",1,0)</f>
        <v>0</v>
      </c>
    </row>
    <row r="1156" spans="1:1">
      <c r="A1156" s="255">
        <f>IF(ИП!$Q$755="",1,0)</f>
        <v>1</v>
      </c>
    </row>
    <row r="1157" spans="1:1">
      <c r="A1157" s="255">
        <f>IF(ИП!$E$760="",1,0)</f>
        <v>0</v>
      </c>
    </row>
    <row r="1158" spans="1:1">
      <c r="A1158" s="255">
        <f>IF(ИП!$G$760="",1,0)</f>
        <v>0</v>
      </c>
    </row>
    <row r="1159" spans="1:1">
      <c r="A1159" s="255">
        <f>IF(ИП!$K$760="",1,0)</f>
        <v>0</v>
      </c>
    </row>
    <row r="1160" spans="1:1">
      <c r="A1160" s="255">
        <f>IF(ИП!$L$760="",1,0)</f>
        <v>0</v>
      </c>
    </row>
    <row r="1161" spans="1:1">
      <c r="A1161" s="255">
        <f>IF(ИП!$M$760="",1,0)</f>
        <v>0</v>
      </c>
    </row>
    <row r="1162" spans="1:1">
      <c r="A1162" s="255">
        <f>IF(ИП!$P$761="",1,0)</f>
        <v>0</v>
      </c>
    </row>
    <row r="1163" spans="1:1">
      <c r="A1163" s="255">
        <f>IF(ИП!$AG$762="",1,0)</f>
        <v>0</v>
      </c>
    </row>
    <row r="1164" spans="1:1">
      <c r="A1164" s="255">
        <f>IF(ИП!$H$760="",1,0)</f>
        <v>0</v>
      </c>
    </row>
    <row r="1165" spans="1:1">
      <c r="A1165" s="255">
        <f>IF(ИП!$Q$761="",1,0)</f>
        <v>1</v>
      </c>
    </row>
    <row r="1166" spans="1:1">
      <c r="A1166" s="255">
        <f>IF(ИП!$E$768="",1,0)</f>
        <v>0</v>
      </c>
    </row>
    <row r="1167" spans="1:1">
      <c r="A1167" s="255">
        <f>IF(ИП!$G$768="",1,0)</f>
        <v>0</v>
      </c>
    </row>
    <row r="1168" spans="1:1">
      <c r="A1168" s="255">
        <f>IF(ИП!$K$768="",1,0)</f>
        <v>0</v>
      </c>
    </row>
    <row r="1169" spans="1:1">
      <c r="A1169" s="255">
        <f>IF(ИП!$L$768="",1,0)</f>
        <v>0</v>
      </c>
    </row>
    <row r="1170" spans="1:1">
      <c r="A1170" s="255">
        <f>IF(ИП!$M$768="",1,0)</f>
        <v>0</v>
      </c>
    </row>
    <row r="1171" spans="1:1">
      <c r="A1171" s="255">
        <f>IF(ИП!$P$769="",1,0)</f>
        <v>0</v>
      </c>
    </row>
    <row r="1172" spans="1:1">
      <c r="A1172" s="255">
        <f>IF(ИП!$AG$770="",1,0)</f>
        <v>0</v>
      </c>
    </row>
    <row r="1173" spans="1:1">
      <c r="A1173" s="255">
        <f>IF(ИП!$H$768="",1,0)</f>
        <v>0</v>
      </c>
    </row>
    <row r="1174" spans="1:1">
      <c r="A1174" s="255">
        <f>IF(ИП!$Q$769="",1,0)</f>
        <v>1</v>
      </c>
    </row>
    <row r="1175" spans="1:1">
      <c r="A1175" s="255">
        <f>IF(ИП!$E$776="",1,0)</f>
        <v>0</v>
      </c>
    </row>
    <row r="1176" spans="1:1">
      <c r="A1176" s="255">
        <f>IF(ИП!$G$776="",1,0)</f>
        <v>0</v>
      </c>
    </row>
    <row r="1177" spans="1:1">
      <c r="A1177" s="255">
        <f>IF(ИП!$K$776="",1,0)</f>
        <v>0</v>
      </c>
    </row>
    <row r="1178" spans="1:1">
      <c r="A1178" s="255">
        <f>IF(ИП!$L$776="",1,0)</f>
        <v>0</v>
      </c>
    </row>
    <row r="1179" spans="1:1">
      <c r="A1179" s="255">
        <f>IF(ИП!$M$776="",1,0)</f>
        <v>0</v>
      </c>
    </row>
    <row r="1180" spans="1:1">
      <c r="A1180" s="255">
        <f>IF(ИП!$P$777="",1,0)</f>
        <v>0</v>
      </c>
    </row>
    <row r="1181" spans="1:1">
      <c r="A1181" s="255">
        <f>IF(ИП!$AG$778="",1,0)</f>
        <v>0</v>
      </c>
    </row>
    <row r="1182" spans="1:1">
      <c r="A1182" s="255">
        <f>IF(ИП!$H$776="",1,0)</f>
        <v>0</v>
      </c>
    </row>
    <row r="1183" spans="1:1">
      <c r="A1183" s="255">
        <f>IF(ИП!$Q$777="",1,0)</f>
        <v>1</v>
      </c>
    </row>
    <row r="1184" spans="1:1">
      <c r="A1184" s="255">
        <f>IF(ИП!$E$782="",1,0)</f>
        <v>0</v>
      </c>
    </row>
    <row r="1185" spans="1:1">
      <c r="A1185" s="255">
        <f>IF(ИП!$G$782="",1,0)</f>
        <v>0</v>
      </c>
    </row>
    <row r="1186" spans="1:1">
      <c r="A1186" s="255">
        <f>IF(ИП!$K$782="",1,0)</f>
        <v>0</v>
      </c>
    </row>
    <row r="1187" spans="1:1">
      <c r="A1187" s="255">
        <f>IF(ИП!$L$782="",1,0)</f>
        <v>0</v>
      </c>
    </row>
    <row r="1188" spans="1:1">
      <c r="A1188" s="255">
        <f>IF(ИП!$M$782="",1,0)</f>
        <v>0</v>
      </c>
    </row>
    <row r="1189" spans="1:1">
      <c r="A1189" s="255">
        <f>IF(ИП!$P$783="",1,0)</f>
        <v>0</v>
      </c>
    </row>
    <row r="1190" spans="1:1">
      <c r="A1190" s="255">
        <f>IF(ИП!$AG$784="",1,0)</f>
        <v>0</v>
      </c>
    </row>
    <row r="1191" spans="1:1">
      <c r="A1191" s="255">
        <f>IF(ИП!$H$782="",1,0)</f>
        <v>0</v>
      </c>
    </row>
    <row r="1192" spans="1:1">
      <c r="A1192" s="255">
        <f>IF(ИП!$Q$783="",1,0)</f>
        <v>1</v>
      </c>
    </row>
    <row r="1193" spans="1:1">
      <c r="A1193" s="255">
        <f>IF(ИП!$E$788="",1,0)</f>
        <v>0</v>
      </c>
    </row>
    <row r="1194" spans="1:1">
      <c r="A1194" s="255">
        <f>IF(ИП!$G$788="",1,0)</f>
        <v>0</v>
      </c>
    </row>
    <row r="1195" spans="1:1">
      <c r="A1195" s="255">
        <f>IF(ИП!$K$788="",1,0)</f>
        <v>0</v>
      </c>
    </row>
    <row r="1196" spans="1:1">
      <c r="A1196" s="255">
        <f>IF(ИП!$L$788="",1,0)</f>
        <v>0</v>
      </c>
    </row>
    <row r="1197" spans="1:1">
      <c r="A1197" s="255">
        <f>IF(ИП!$M$788="",1,0)</f>
        <v>0</v>
      </c>
    </row>
    <row r="1198" spans="1:1">
      <c r="A1198" s="255">
        <f>IF(ИП!$P$789="",1,0)</f>
        <v>0</v>
      </c>
    </row>
    <row r="1199" spans="1:1">
      <c r="A1199" s="255">
        <f>IF(ИП!$AG$790="",1,0)</f>
        <v>0</v>
      </c>
    </row>
    <row r="1200" spans="1:1">
      <c r="A1200" s="255">
        <f>IF(ИП!$H$788="",1,0)</f>
        <v>0</v>
      </c>
    </row>
    <row r="1201" spans="1:1">
      <c r="A1201" s="255">
        <f>IF(ИП!$Q$789="",1,0)</f>
        <v>1</v>
      </c>
    </row>
    <row r="1202" spans="1:1">
      <c r="A1202" s="255">
        <f>IF(ИП!$E$794="",1,0)</f>
        <v>0</v>
      </c>
    </row>
    <row r="1203" spans="1:1">
      <c r="A1203" s="255">
        <f>IF(ИП!$G$794="",1,0)</f>
        <v>0</v>
      </c>
    </row>
    <row r="1204" spans="1:1">
      <c r="A1204" s="255">
        <f>IF(ИП!$K$794="",1,0)</f>
        <v>0</v>
      </c>
    </row>
    <row r="1205" spans="1:1">
      <c r="A1205" s="255">
        <f>IF(ИП!$L$794="",1,0)</f>
        <v>0</v>
      </c>
    </row>
    <row r="1206" spans="1:1">
      <c r="A1206" s="255">
        <f>IF(ИП!$M$794="",1,0)</f>
        <v>0</v>
      </c>
    </row>
    <row r="1207" spans="1:1">
      <c r="A1207" s="255">
        <f>IF(ИП!$P$795="",1,0)</f>
        <v>0</v>
      </c>
    </row>
    <row r="1208" spans="1:1">
      <c r="A1208" s="255">
        <f>IF(ИП!$AG$796="",1,0)</f>
        <v>0</v>
      </c>
    </row>
    <row r="1209" spans="1:1">
      <c r="A1209" s="255">
        <f>IF(ИП!$H$794="",1,0)</f>
        <v>0</v>
      </c>
    </row>
    <row r="1210" spans="1:1">
      <c r="A1210" s="255">
        <f>IF(ИП!$Q$795="",1,0)</f>
        <v>1</v>
      </c>
    </row>
    <row r="1211" spans="1:1">
      <c r="A1211" s="255">
        <f>IF(ИП!$E$800="",1,0)</f>
        <v>0</v>
      </c>
    </row>
    <row r="1212" spans="1:1">
      <c r="A1212" s="255">
        <f>IF(ИП!$G$800="",1,0)</f>
        <v>0</v>
      </c>
    </row>
    <row r="1213" spans="1:1">
      <c r="A1213" s="255">
        <f>IF(ИП!$K$800="",1,0)</f>
        <v>0</v>
      </c>
    </row>
    <row r="1214" spans="1:1">
      <c r="A1214" s="255">
        <f>IF(ИП!$L$800="",1,0)</f>
        <v>0</v>
      </c>
    </row>
    <row r="1215" spans="1:1">
      <c r="A1215" s="255">
        <f>IF(ИП!$M$800="",1,0)</f>
        <v>0</v>
      </c>
    </row>
    <row r="1216" spans="1:1">
      <c r="A1216" s="255">
        <f>IF(ИП!$P$801="",1,0)</f>
        <v>0</v>
      </c>
    </row>
    <row r="1217" spans="1:1">
      <c r="A1217" s="255">
        <f>IF(ИП!$AG$802="",1,0)</f>
        <v>0</v>
      </c>
    </row>
    <row r="1218" spans="1:1">
      <c r="A1218" s="255">
        <f>IF(ИП!$H$800="",1,0)</f>
        <v>0</v>
      </c>
    </row>
    <row r="1219" spans="1:1">
      <c r="A1219" s="255">
        <f>IF(ИП!$Q$801="",1,0)</f>
        <v>1</v>
      </c>
    </row>
    <row r="1220" spans="1:1">
      <c r="A1220" s="255">
        <f>IF(ИП!$E$806="",1,0)</f>
        <v>0</v>
      </c>
    </row>
    <row r="1221" spans="1:1">
      <c r="A1221" s="255">
        <f>IF(ИП!$G$806="",1,0)</f>
        <v>0</v>
      </c>
    </row>
    <row r="1222" spans="1:1">
      <c r="A1222" s="255">
        <f>IF(ИП!$K$806="",1,0)</f>
        <v>0</v>
      </c>
    </row>
    <row r="1223" spans="1:1">
      <c r="A1223" s="255">
        <f>IF(ИП!$L$806="",1,0)</f>
        <v>0</v>
      </c>
    </row>
    <row r="1224" spans="1:1">
      <c r="A1224" s="255">
        <f>IF(ИП!$M$806="",1,0)</f>
        <v>0</v>
      </c>
    </row>
    <row r="1225" spans="1:1">
      <c r="A1225" s="255">
        <f>IF(ИП!$P$807="",1,0)</f>
        <v>0</v>
      </c>
    </row>
    <row r="1226" spans="1:1">
      <c r="A1226" s="255">
        <f>IF(ИП!$AG$808="",1,0)</f>
        <v>0</v>
      </c>
    </row>
    <row r="1227" spans="1:1">
      <c r="A1227" s="255">
        <f>IF(ИП!$H$806="",1,0)</f>
        <v>0</v>
      </c>
    </row>
    <row r="1228" spans="1:1">
      <c r="A1228" s="255">
        <f>IF(ИП!$Q$807="",1,0)</f>
        <v>1</v>
      </c>
    </row>
    <row r="1229" spans="1:1">
      <c r="A1229" s="255">
        <f>IF(ИП!$E$812="",1,0)</f>
        <v>0</v>
      </c>
    </row>
    <row r="1230" spans="1:1">
      <c r="A1230" s="255">
        <f>IF(ИП!$G$812="",1,0)</f>
        <v>0</v>
      </c>
    </row>
    <row r="1231" spans="1:1">
      <c r="A1231" s="255">
        <f>IF(ИП!$K$812="",1,0)</f>
        <v>0</v>
      </c>
    </row>
    <row r="1232" spans="1:1">
      <c r="A1232" s="255">
        <f>IF(ИП!$L$812="",1,0)</f>
        <v>0</v>
      </c>
    </row>
    <row r="1233" spans="1:1">
      <c r="A1233" s="255">
        <f>IF(ИП!$M$812="",1,0)</f>
        <v>0</v>
      </c>
    </row>
    <row r="1234" spans="1:1">
      <c r="A1234" s="255">
        <f>IF(ИП!$P$813="",1,0)</f>
        <v>0</v>
      </c>
    </row>
    <row r="1235" spans="1:1">
      <c r="A1235" s="255">
        <f>IF(ИП!$AG$814="",1,0)</f>
        <v>0</v>
      </c>
    </row>
    <row r="1236" spans="1:1">
      <c r="A1236" s="255">
        <f>IF(ИП!$H$812="",1,0)</f>
        <v>0</v>
      </c>
    </row>
    <row r="1237" spans="1:1">
      <c r="A1237" s="255">
        <f>IF(ИП!$Q$813="",1,0)</f>
        <v>1</v>
      </c>
    </row>
    <row r="1238" spans="1:1">
      <c r="A1238" s="255">
        <f>IF(ИП!$E$818="",1,0)</f>
        <v>0</v>
      </c>
    </row>
    <row r="1239" spans="1:1">
      <c r="A1239" s="255">
        <f>IF(ИП!$G$818="",1,0)</f>
        <v>0</v>
      </c>
    </row>
    <row r="1240" spans="1:1">
      <c r="A1240" s="255">
        <f>IF(ИП!$K$818="",1,0)</f>
        <v>0</v>
      </c>
    </row>
    <row r="1241" spans="1:1">
      <c r="A1241" s="255">
        <f>IF(ИП!$L$818="",1,0)</f>
        <v>0</v>
      </c>
    </row>
    <row r="1242" spans="1:1">
      <c r="A1242" s="255">
        <f>IF(ИП!$M$818="",1,0)</f>
        <v>0</v>
      </c>
    </row>
    <row r="1243" spans="1:1">
      <c r="A1243" s="255">
        <f>IF(ИП!$P$819="",1,0)</f>
        <v>0</v>
      </c>
    </row>
    <row r="1244" spans="1:1">
      <c r="A1244" s="255">
        <f>IF(ИП!$AG$820="",1,0)</f>
        <v>0</v>
      </c>
    </row>
    <row r="1245" spans="1:1">
      <c r="A1245" s="255">
        <f>IF(ИП!$H$818="",1,0)</f>
        <v>0</v>
      </c>
    </row>
    <row r="1246" spans="1:1">
      <c r="A1246" s="255">
        <f>IF(ИП!$Q$819="",1,0)</f>
        <v>1</v>
      </c>
    </row>
    <row r="1247" spans="1:1">
      <c r="A1247" s="255">
        <f>IF(ИП!$AG$821="",1,0)</f>
        <v>0</v>
      </c>
    </row>
    <row r="1248" spans="1:1">
      <c r="A1248" s="255">
        <f>IF(ИП!$AG$815="",1,0)</f>
        <v>0</v>
      </c>
    </row>
    <row r="1249" spans="1:1">
      <c r="A1249" s="255">
        <f>IF(ИП!$AG$809="",1,0)</f>
        <v>0</v>
      </c>
    </row>
    <row r="1250" spans="1:1">
      <c r="A1250" s="255">
        <f>IF(ИП!$AG$803="",1,0)</f>
        <v>0</v>
      </c>
    </row>
    <row r="1251" spans="1:1">
      <c r="A1251" s="255">
        <f>IF(ИП!$AG$797="",1,0)</f>
        <v>0</v>
      </c>
    </row>
    <row r="1252" spans="1:1">
      <c r="A1252" s="255">
        <f>IF(ИП!$AG$791="",1,0)</f>
        <v>0</v>
      </c>
    </row>
    <row r="1253" spans="1:1">
      <c r="A1253" s="255">
        <f>IF(ИП!$AG$785="",1,0)</f>
        <v>0</v>
      </c>
    </row>
    <row r="1254" spans="1:1">
      <c r="A1254" s="255">
        <f>IF(ИП!$AG$779="",1,0)</f>
        <v>0</v>
      </c>
    </row>
    <row r="1255" spans="1:1">
      <c r="A1255" s="255">
        <f>IF(ИП!$AG$771="",1,0)</f>
        <v>0</v>
      </c>
    </row>
    <row r="1256" spans="1:1">
      <c r="A1256" s="255">
        <f>IF(ИП!$AG$763="",1,0)</f>
        <v>0</v>
      </c>
    </row>
    <row r="1257" spans="1:1">
      <c r="A1257" s="255">
        <f>IF(ИП!$AG$757="",1,0)</f>
        <v>0</v>
      </c>
    </row>
    <row r="1258" spans="1:1">
      <c r="A1258" s="255">
        <f>IF(ИП!$E$824="",1,0)</f>
        <v>0</v>
      </c>
    </row>
    <row r="1259" spans="1:1">
      <c r="A1259" s="255">
        <f>IF(ИП!$G$824="",1,0)</f>
        <v>0</v>
      </c>
    </row>
    <row r="1260" spans="1:1">
      <c r="A1260" s="255">
        <f>IF(ИП!$K$824="",1,0)</f>
        <v>0</v>
      </c>
    </row>
    <row r="1261" spans="1:1">
      <c r="A1261" s="255">
        <f>IF(ИП!$L$824="",1,0)</f>
        <v>0</v>
      </c>
    </row>
    <row r="1262" spans="1:1">
      <c r="A1262" s="255">
        <f>IF(ИП!$M$824="",1,0)</f>
        <v>0</v>
      </c>
    </row>
    <row r="1263" spans="1:1">
      <c r="A1263" s="255">
        <f>IF(ИП!$P$825="",1,0)</f>
        <v>0</v>
      </c>
    </row>
    <row r="1264" spans="1:1">
      <c r="A1264" s="255">
        <f>IF(ИП!$AG$826="",1,0)</f>
        <v>0</v>
      </c>
    </row>
    <row r="1265" spans="1:1">
      <c r="A1265" s="255">
        <f>IF(ИП!$H$824="",1,0)</f>
        <v>0</v>
      </c>
    </row>
    <row r="1266" spans="1:1">
      <c r="A1266" s="255">
        <f>IF(ИП!$Q$825="",1,0)</f>
        <v>1</v>
      </c>
    </row>
    <row r="1267" spans="1:1">
      <c r="A1267" s="255">
        <f>IF(ИП!$AG$772="",1,0)</f>
        <v>0</v>
      </c>
    </row>
    <row r="1268" spans="1:1">
      <c r="A1268" s="255">
        <f>IF(ИП!$AG$773="",1,0)</f>
        <v>0</v>
      </c>
    </row>
    <row r="1269" spans="1:1">
      <c r="A1269" s="255">
        <f>IF(ИП!$AG$764="",1,0)</f>
        <v>0</v>
      </c>
    </row>
    <row r="1270" spans="1:1">
      <c r="A1270" s="255">
        <f>IF(ИП!$AG$765="",1,0)</f>
        <v>0</v>
      </c>
    </row>
    <row r="1271" spans="1:1">
      <c r="A1271" s="255">
        <f>IF(ИП!$AG$751="",1,0)</f>
        <v>0</v>
      </c>
    </row>
    <row r="1272" spans="1:1">
      <c r="A1272" s="255">
        <f>IF(ИП!$AG$745="",1,0)</f>
        <v>0</v>
      </c>
    </row>
    <row r="1273" spans="1:1">
      <c r="A1273" s="255">
        <f>IF(ИП!$AG$739="",1,0)</f>
        <v>0</v>
      </c>
    </row>
    <row r="1274" spans="1:1">
      <c r="A1274" s="255">
        <f>IF(ИП!$AG$733="",1,0)</f>
        <v>0</v>
      </c>
    </row>
    <row r="1275" spans="1:1">
      <c r="A1275" s="255">
        <f>IF(ИП!$AG$727="",1,0)</f>
        <v>0</v>
      </c>
    </row>
    <row r="1276" spans="1:1">
      <c r="A1276" s="255">
        <f>IF(ИП!$AG$721="",1,0)</f>
        <v>0</v>
      </c>
    </row>
    <row r="1277" spans="1:1">
      <c r="A1277" s="255">
        <f>IF(ИП!$AG$715="",1,0)</f>
        <v>0</v>
      </c>
    </row>
    <row r="1278" spans="1:1">
      <c r="A1278" s="255">
        <f>IF(ИП!$AG$709="",1,0)</f>
        <v>0</v>
      </c>
    </row>
    <row r="1279" spans="1:1">
      <c r="A1279" s="255">
        <f>IF(ИП!$AG$703="",1,0)</f>
        <v>0</v>
      </c>
    </row>
    <row r="1280" spans="1:1">
      <c r="A1280" s="255">
        <f>IF(ИП!$AG$827="",1,0)</f>
        <v>0</v>
      </c>
    </row>
  </sheetData>
  <sheetProtection formatColumns="0" formatRows="0"/>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40625" defaultRowHeight="11.25"/>
  <cols>
    <col min="1" max="16384" width="9.140625" style="2"/>
  </cols>
  <sheetData/>
  <sheetProtection formatColumns="0" formatRows="0"/>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2">
    <tabColor theme="3" tint="0.59999389629810485"/>
  </sheetPr>
  <dimension ref="C1:M10"/>
  <sheetViews>
    <sheetView showGridLines="0" topLeftCell="C1" workbookViewId="0">
      <pane ySplit="8" topLeftCell="A9" activePane="bottomLeft" state="frozen"/>
      <selection activeCell="C4" sqref="C4"/>
      <selection pane="bottomLeft" activeCell="F9" sqref="F9"/>
    </sheetView>
  </sheetViews>
  <sheetFormatPr defaultRowHeight="11.25"/>
  <cols>
    <col min="1" max="2" width="0" hidden="1" customWidth="1"/>
    <col min="3" max="3" width="4.85546875" customWidth="1"/>
    <col min="5" max="6" width="39.42578125" customWidth="1"/>
    <col min="7" max="7" width="18.42578125" customWidth="1"/>
    <col min="8" max="8" width="48.42578125" customWidth="1"/>
    <col min="9" max="9" width="31.5703125" customWidth="1"/>
    <col min="10" max="10" width="32" customWidth="1"/>
  </cols>
  <sheetData>
    <row r="1" spans="3:13" hidden="1">
      <c r="D1" s="234"/>
      <c r="E1" s="234"/>
      <c r="F1" s="234"/>
      <c r="G1" s="234"/>
      <c r="H1" s="234"/>
      <c r="I1" s="261"/>
    </row>
    <row r="2" spans="3:13" hidden="1">
      <c r="D2" s="234"/>
      <c r="E2" s="234"/>
      <c r="F2" s="234"/>
      <c r="G2" s="234"/>
      <c r="H2" s="234"/>
    </row>
    <row r="3" spans="3:13" hidden="1">
      <c r="D3" s="234"/>
      <c r="E3" s="234"/>
      <c r="F3" s="234"/>
      <c r="G3" s="234"/>
      <c r="H3" s="234"/>
    </row>
    <row r="4" spans="3:13" ht="12.75">
      <c r="D4" s="215" t="s">
        <v>324</v>
      </c>
      <c r="E4" s="234"/>
      <c r="F4" s="234"/>
      <c r="G4" s="234"/>
      <c r="H4" s="234"/>
    </row>
    <row r="5" spans="3:13" ht="12.75">
      <c r="D5" s="204" t="str">
        <f>region_name &amp; " " &amp; org</f>
        <v>Челябинская область АО "УСТЭК-Челябинск"</v>
      </c>
      <c r="E5" s="234"/>
      <c r="F5" s="234"/>
      <c r="G5" s="234"/>
    </row>
    <row r="6" spans="3:13">
      <c r="D6" s="234"/>
      <c r="E6" s="234"/>
      <c r="F6" s="234"/>
      <c r="G6" s="234"/>
    </row>
    <row r="7" spans="3:13" ht="15" customHeight="1">
      <c r="C7" s="252" t="s">
        <v>268</v>
      </c>
      <c r="D7" s="227" t="s">
        <v>36</v>
      </c>
      <c r="E7" s="226" t="s">
        <v>157</v>
      </c>
      <c r="F7" s="226" t="s">
        <v>158</v>
      </c>
      <c r="G7" s="228" t="s">
        <v>159</v>
      </c>
      <c r="H7" s="235" t="s">
        <v>265</v>
      </c>
      <c r="I7" s="245" t="s">
        <v>331</v>
      </c>
    </row>
    <row r="8" spans="3:13" ht="15" hidden="1" customHeight="1">
      <c r="D8" s="98">
        <v>0</v>
      </c>
      <c r="E8" s="98"/>
      <c r="F8" s="114"/>
      <c r="G8" s="114"/>
    </row>
    <row r="9" spans="3:13" ht="15" customHeight="1">
      <c r="C9" s="320" t="s">
        <v>1240</v>
      </c>
      <c r="D9" s="233">
        <v>1</v>
      </c>
      <c r="E9" s="265" t="s">
        <v>715</v>
      </c>
      <c r="F9" s="266" t="s">
        <v>715</v>
      </c>
      <c r="G9" s="267" t="s">
        <v>716</v>
      </c>
      <c r="H9" s="237" t="str">
        <f xml:space="preserve"> IFERROR(IF(LEN(G9)=0,"",VLOOKUP(G9,OKTMO_TYPE_LIST,2,FALSE)),"МО отсутствует")</f>
        <v>городской округ</v>
      </c>
      <c r="I9" s="246"/>
      <c r="J9" s="263" t="s">
        <v>337</v>
      </c>
      <c r="K9" s="264"/>
      <c r="L9" s="264"/>
      <c r="M9" s="264"/>
    </row>
    <row r="10" spans="3:13" ht="15" customHeight="1">
      <c r="D10" s="229"/>
      <c r="E10" s="232" t="s">
        <v>325</v>
      </c>
      <c r="F10" s="230"/>
      <c r="G10" s="230"/>
      <c r="H10" s="230"/>
      <c r="I10" s="231"/>
    </row>
  </sheetData>
  <sheetProtection algorithmName="SHA-512" hashValue="gusnG0pEPRNS+IhUN3kkubWgg569z+00qTzS+1ypzl5eO3RwnH1+86cSeQbWuiOlW5RhdIORzthhzzIhp36ASQ==" saltValue="mWuLU7kQ/49T/8Wr7JJOXQ==" spinCount="100000" sheet="1" objects="1" scenarios="1" formatColumns="0" formatRows="0" autoFilter="0"/>
  <dataValidations count="2">
    <dataValidation type="list" allowBlank="1" showInputMessage="1" showErrorMessage="1" errorTitle="Ошибка" error="Выберите значение из списка" prompt="Выберите значение из списка" sqref="E9">
      <formula1>MR_LIST</formula1>
    </dataValidation>
    <dataValidation type="list" showInputMessage="1" showErrorMessage="1" errorTitle="Внимание" error="Пожалуйста, выберите МО из списка!" sqref="F9">
      <formula1>MO_LIST_21</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01">
    <tabColor theme="3" tint="0.39997558519241921"/>
    <pageSetUpPr fitToPage="1"/>
  </sheetPr>
  <dimension ref="A1:BZ838"/>
  <sheetViews>
    <sheetView showGridLines="0" tabSelected="1" topLeftCell="C1" zoomScale="70" zoomScaleNormal="70" workbookViewId="0">
      <pane ySplit="8" topLeftCell="A282" activePane="bottomLeft" state="frozen"/>
      <selection activeCell="C4" sqref="C4"/>
      <selection pane="bottomLeft" activeCell="G310" sqref="G310:G315"/>
    </sheetView>
  </sheetViews>
  <sheetFormatPr defaultColWidth="10.5703125" defaultRowHeight="11.25"/>
  <cols>
    <col min="1" max="2" width="9.140625" style="44" hidden="1" customWidth="1"/>
    <col min="3" max="3" width="4.85546875" style="44" customWidth="1"/>
    <col min="4" max="4" width="6.7109375" style="44" customWidth="1"/>
    <col min="5" max="5" width="29.7109375" style="44" customWidth="1"/>
    <col min="6" max="6" width="26.42578125" style="44" customWidth="1"/>
    <col min="7" max="8" width="25.85546875" style="44" customWidth="1"/>
    <col min="9" max="10" width="25.85546875" style="44" hidden="1" customWidth="1"/>
    <col min="11" max="11" width="17.140625" style="44" customWidth="1"/>
    <col min="12" max="12" width="21.7109375" style="44" customWidth="1"/>
    <col min="13" max="13" width="12.28515625" style="44" customWidth="1"/>
    <col min="14" max="14" width="3.7109375" style="44" customWidth="1"/>
    <col min="15" max="15" width="7.28515625" style="44" customWidth="1"/>
    <col min="16" max="16" width="17.7109375" style="44" customWidth="1"/>
    <col min="17" max="20" width="19.28515625" style="44" hidden="1" customWidth="1"/>
    <col min="21" max="21" width="11.7109375" style="44" hidden="1" customWidth="1"/>
    <col min="22" max="22" width="19.28515625" style="44" hidden="1" customWidth="1"/>
    <col min="23" max="23" width="11.7109375" style="44" hidden="1" customWidth="1"/>
    <col min="24" max="24" width="31" style="44" hidden="1" customWidth="1"/>
    <col min="25" max="25" width="12.140625" style="44" hidden="1" customWidth="1"/>
    <col min="26" max="27" width="19.28515625" style="44" hidden="1" customWidth="1"/>
    <col min="28" max="28" width="11.7109375" style="44" hidden="1" customWidth="1"/>
    <col min="29" max="29" width="19.28515625" style="44" hidden="1" customWidth="1"/>
    <col min="30" max="30" width="11.7109375" style="44" hidden="1" customWidth="1"/>
    <col min="31" max="31" width="3.7109375" style="44" customWidth="1"/>
    <col min="32" max="32" width="9.42578125" style="44" customWidth="1"/>
    <col min="33" max="33" width="44.5703125" style="44" customWidth="1"/>
    <col min="34" max="34" width="14.5703125" style="44" hidden="1" customWidth="1"/>
    <col min="35" max="35" width="36.28515625" style="44" hidden="1" customWidth="1"/>
    <col min="36" max="37" width="14.5703125" style="44" hidden="1" customWidth="1"/>
    <col min="38" max="38" width="36.28515625" style="44" hidden="1" customWidth="1"/>
    <col min="39" max="39" width="25.7109375" style="44" hidden="1" customWidth="1"/>
    <col min="40" max="41" width="14.7109375" style="44" hidden="1" customWidth="1"/>
    <col min="42" max="42" width="21.7109375" style="44" hidden="1" customWidth="1"/>
    <col min="43" max="43" width="21.7109375" style="44" customWidth="1"/>
    <col min="44" max="48" width="21.7109375" style="44" hidden="1" customWidth="1"/>
    <col min="49" max="49" width="21.7109375" style="44" customWidth="1"/>
    <col min="50" max="51" width="21.7109375" style="44" hidden="1" customWidth="1"/>
    <col min="52" max="52" width="21.7109375" style="44" customWidth="1"/>
    <col min="53" max="54" width="21.7109375" style="44" hidden="1" customWidth="1"/>
    <col min="55" max="55" width="21.7109375" style="44" customWidth="1"/>
    <col min="56" max="65" width="21.7109375" style="44" hidden="1" customWidth="1"/>
    <col min="66" max="66" width="21.7109375" hidden="1" customWidth="1"/>
    <col min="67" max="70" width="23.85546875" style="44" customWidth="1"/>
    <col min="71" max="16384" width="10.5703125" style="44"/>
  </cols>
  <sheetData>
    <row r="1" spans="3:71" ht="16.5" hidden="1" customHeight="1">
      <c r="BN1" s="321"/>
    </row>
    <row r="2" spans="3:71" ht="16.5" hidden="1" customHeight="1"/>
    <row r="3" spans="3:71">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21" t="str">
        <f>"Размер средств по инвестиционной программе, учтенных в НВВ на " &amp; god &amp; " год, тыс.руб."</f>
        <v>Размер средств по инвестиционной программе, учтенных в НВВ на 2020 год, тыс.руб.</v>
      </c>
      <c r="AE3" s="421"/>
      <c r="AF3" s="421"/>
      <c r="AG3" s="421"/>
      <c r="AH3" s="421"/>
      <c r="AI3" s="421"/>
      <c r="AJ3" s="421"/>
      <c r="AK3" s="421"/>
      <c r="AL3" s="421"/>
      <c r="AM3" s="421"/>
      <c r="AN3" s="421"/>
      <c r="AO3" s="421"/>
      <c r="AP3" s="421"/>
      <c r="AQ3" s="304">
        <f>AW13+AW12</f>
        <v>828260.42618341488</v>
      </c>
      <c r="AR3" s="46"/>
      <c r="AS3" s="46"/>
      <c r="AT3" s="46"/>
      <c r="AU3" s="46"/>
      <c r="AV3" s="46"/>
      <c r="AW3" s="46"/>
      <c r="AX3" s="46"/>
      <c r="AY3" s="46"/>
      <c r="AZ3" s="46"/>
      <c r="BA3" s="46"/>
      <c r="BB3" s="46"/>
      <c r="BC3" s="46"/>
      <c r="BD3" s="53"/>
      <c r="BE3" s="53"/>
      <c r="BF3" s="53"/>
      <c r="BG3" s="53"/>
      <c r="BH3" s="53"/>
      <c r="BI3" s="53"/>
      <c r="BJ3" s="53"/>
      <c r="BK3" s="53"/>
      <c r="BL3" s="53"/>
      <c r="BM3" s="53"/>
    </row>
    <row r="4" spans="3:71" ht="12.75" customHeight="1">
      <c r="C4" s="45"/>
      <c r="D4" s="215" t="str">
        <f xml:space="preserve"> "Справка о финансировании в тыс.руб " &amp; IF(nds = "да", "(c НДС)", "(без НДС)")</f>
        <v>Справка о финансировании в тыс.руб (c НДС)</v>
      </c>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421" t="str">
        <f>"Размер средств, исключаемых из НВВ на " &amp; god &amp; " год, в связи с неисполнением ИП, тыс. руб."</f>
        <v>Размер средств, исключаемых из НВВ на 2020 год, в связи с неисполнением ИП, тыс. руб.</v>
      </c>
      <c r="AE4" s="421"/>
      <c r="AF4" s="421"/>
      <c r="AG4" s="421"/>
      <c r="AH4" s="421"/>
      <c r="AI4" s="421"/>
      <c r="AJ4" s="421"/>
      <c r="AK4" s="421"/>
      <c r="AL4" s="421"/>
      <c r="AM4" s="421"/>
      <c r="AN4" s="421"/>
      <c r="AO4" s="421"/>
      <c r="AP4" s="421"/>
      <c r="AQ4" s="314">
        <f>AU9</f>
        <v>0</v>
      </c>
      <c r="AR4" s="54"/>
      <c r="AS4" s="54"/>
      <c r="AT4" s="54"/>
      <c r="AU4" s="54"/>
      <c r="AV4" s="54"/>
      <c r="AW4" s="54"/>
      <c r="AX4" s="54"/>
      <c r="AY4" s="54"/>
      <c r="AZ4" s="54"/>
      <c r="BA4" s="54"/>
      <c r="BB4" s="54"/>
      <c r="BC4" s="54"/>
      <c r="BD4" s="47"/>
      <c r="BE4" s="47"/>
    </row>
    <row r="5" spans="3:71" ht="12.75">
      <c r="C5" s="45"/>
      <c r="D5" s="204" t="str">
        <f>region_name &amp; " " &amp; org</f>
        <v>Челябинская область АО "УСТЭК-Челябинск"</v>
      </c>
      <c r="E5" s="205"/>
      <c r="F5" s="205"/>
      <c r="G5" s="205"/>
      <c r="H5" s="205"/>
      <c r="I5" s="205"/>
      <c r="J5" s="205"/>
      <c r="K5" s="205"/>
      <c r="L5" s="205"/>
      <c r="M5" s="205"/>
      <c r="N5" s="205"/>
      <c r="O5" s="205"/>
      <c r="P5" s="205"/>
      <c r="Q5" s="205"/>
      <c r="R5" s="205"/>
      <c r="S5" s="205"/>
      <c r="T5" s="205"/>
      <c r="U5" s="205"/>
      <c r="V5" s="205"/>
      <c r="W5" s="205"/>
      <c r="X5" s="205"/>
      <c r="Y5" s="205"/>
      <c r="Z5" s="205"/>
      <c r="AA5" s="248"/>
      <c r="AB5" s="248"/>
      <c r="AC5" s="248"/>
      <c r="AD5" s="421" t="s">
        <v>383</v>
      </c>
      <c r="AE5" s="421"/>
      <c r="AF5" s="421"/>
      <c r="AG5" s="421"/>
      <c r="AH5" s="421"/>
      <c r="AI5" s="421"/>
      <c r="AJ5" s="421"/>
      <c r="AK5" s="421"/>
      <c r="AL5" s="421"/>
      <c r="AM5" s="421"/>
      <c r="AN5" s="421"/>
      <c r="AO5" s="421"/>
      <c r="AP5" s="421"/>
      <c r="AQ5" s="103">
        <f>ip_cost</f>
        <v>35142.81</v>
      </c>
      <c r="AR5" s="288"/>
      <c r="AS5" s="51"/>
      <c r="AT5" s="51"/>
      <c r="AU5" s="51"/>
      <c r="AV5" s="48"/>
      <c r="AW5" s="51"/>
      <c r="AX5" s="51"/>
      <c r="AY5" s="51"/>
      <c r="AZ5" s="51"/>
      <c r="BA5" s="51"/>
      <c r="BB5" s="51"/>
      <c r="BC5" s="51"/>
      <c r="BD5" s="47"/>
      <c r="BE5" s="47"/>
    </row>
    <row r="6" spans="3:71">
      <c r="C6" s="45"/>
      <c r="D6" s="45"/>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286"/>
      <c r="AG6" s="286"/>
      <c r="AH6" s="286"/>
      <c r="AI6" s="286"/>
      <c r="AJ6" s="286"/>
      <c r="AK6" s="286"/>
      <c r="AL6" s="286"/>
      <c r="AM6" s="286"/>
      <c r="AN6" s="286"/>
      <c r="AO6" s="286"/>
      <c r="AP6" s="286"/>
      <c r="AQ6" s="289"/>
      <c r="AR6" s="286"/>
      <c r="AS6" s="286"/>
      <c r="AT6" s="286"/>
      <c r="AU6" s="308"/>
      <c r="AV6" s="303"/>
      <c r="AW6" s="286"/>
      <c r="AX6" s="286"/>
      <c r="AY6" s="286"/>
      <c r="AZ6" s="286"/>
      <c r="BA6" s="286"/>
      <c r="BB6" s="286"/>
      <c r="BC6" s="286"/>
      <c r="BD6" s="45"/>
      <c r="BE6" s="45"/>
      <c r="BF6" s="48"/>
      <c r="BG6" s="48"/>
      <c r="BH6" s="48"/>
      <c r="BI6" s="48"/>
      <c r="BJ6" s="48"/>
      <c r="BK6" s="48"/>
      <c r="BL6" s="48"/>
      <c r="BM6" s="48"/>
      <c r="BN6" s="284"/>
    </row>
    <row r="7" spans="3:71" ht="24" customHeight="1">
      <c r="C7" s="45"/>
      <c r="D7" s="410" t="s">
        <v>36</v>
      </c>
      <c r="E7" s="410" t="s">
        <v>195</v>
      </c>
      <c r="F7" s="410" t="s">
        <v>196</v>
      </c>
      <c r="G7" s="408" t="s">
        <v>163</v>
      </c>
      <c r="H7" s="412" t="s">
        <v>315</v>
      </c>
      <c r="I7" s="414"/>
      <c r="J7" s="414"/>
      <c r="K7" s="408" t="s">
        <v>254</v>
      </c>
      <c r="L7" s="412" t="s">
        <v>266</v>
      </c>
      <c r="M7" s="408" t="s">
        <v>267</v>
      </c>
      <c r="N7" s="415" t="s">
        <v>316</v>
      </c>
      <c r="O7" s="416"/>
      <c r="P7" s="412" t="s">
        <v>281</v>
      </c>
      <c r="Q7" s="412" t="s">
        <v>309</v>
      </c>
      <c r="R7" s="412" t="s">
        <v>310</v>
      </c>
      <c r="S7" s="412" t="s">
        <v>311</v>
      </c>
      <c r="T7" s="414"/>
      <c r="U7" s="414"/>
      <c r="V7" s="414"/>
      <c r="W7" s="414"/>
      <c r="X7" s="414"/>
      <c r="Y7" s="414"/>
      <c r="Z7" s="412" t="s">
        <v>315</v>
      </c>
      <c r="AA7" s="414"/>
      <c r="AB7" s="414"/>
      <c r="AC7" s="414"/>
      <c r="AD7" s="414"/>
      <c r="AE7" s="415" t="s">
        <v>317</v>
      </c>
      <c r="AF7" s="416"/>
      <c r="AG7" s="408" t="s">
        <v>161</v>
      </c>
      <c r="AH7" s="412" t="s">
        <v>365</v>
      </c>
      <c r="AI7" s="412" t="s">
        <v>371</v>
      </c>
      <c r="AJ7" s="412" t="s">
        <v>369</v>
      </c>
      <c r="AK7" s="412" t="s">
        <v>370</v>
      </c>
      <c r="AL7" s="412" t="s">
        <v>372</v>
      </c>
      <c r="AM7" s="412" t="s">
        <v>373</v>
      </c>
      <c r="AN7" s="412" t="s">
        <v>374</v>
      </c>
      <c r="AO7" s="412" t="s">
        <v>375</v>
      </c>
      <c r="AP7" s="412" t="s">
        <v>283</v>
      </c>
      <c r="AQ7" s="412" t="s">
        <v>299</v>
      </c>
      <c r="AR7" s="412" t="s">
        <v>346</v>
      </c>
      <c r="AS7" s="412" t="s">
        <v>301</v>
      </c>
      <c r="AT7" s="412" t="s">
        <v>302</v>
      </c>
      <c r="AU7" s="412" t="s">
        <v>390</v>
      </c>
      <c r="AV7" s="412" t="str">
        <f>"Размер средств, исключаемых из НВВ на " &amp; god &amp; " год, в связи с неисполнением ИП"</f>
        <v>Размер средств, исключаемых из НВВ на 2020 год, в связи с неисполнением ИП</v>
      </c>
      <c r="AW7" s="285" t="str">
        <f>"Утверждено на " &amp; god &amp; " (план)"</f>
        <v>Утверждено на 2020 (план)</v>
      </c>
      <c r="AX7" s="285" t="str">
        <f>"Утверждено на " &amp; god &amp; " (корректировка)"</f>
        <v>Утверждено на 2020 (корректировка)</v>
      </c>
      <c r="AY7" s="285" t="str">
        <f>"Утверждено на " &amp; god &amp; " (дельта)"</f>
        <v>Утверждено на 2020 (дельта)</v>
      </c>
      <c r="AZ7" s="285" t="str">
        <f>"Утверждено на " &amp; god+1 &amp; " (план)"</f>
        <v>Утверждено на 2021 (план)</v>
      </c>
      <c r="BA7" s="285" t="str">
        <f>"Утверждено на " &amp; god+1 &amp; " (корректировка)"</f>
        <v>Утверждено на 2021 (корректировка)</v>
      </c>
      <c r="BB7" s="285" t="str">
        <f>"Утверждено на " &amp; god+1 &amp; " (дельта)"</f>
        <v>Утверждено на 2021 (дельта)</v>
      </c>
      <c r="BC7" s="285" t="str">
        <f>"Утверждено на " &amp; god+2 &amp; " (план)"</f>
        <v>Утверждено на 2022 (план)</v>
      </c>
      <c r="BD7" s="285" t="str">
        <f>"Утверждено на " &amp; god+2 &amp; " (корректировка)"</f>
        <v>Утверждено на 2022 (корректировка)</v>
      </c>
      <c r="BE7" s="285" t="str">
        <f>"Утверждено на " &amp; god+2 &amp; " (дельта)"</f>
        <v>Утверждено на 2022 (дельта)</v>
      </c>
      <c r="BF7" s="285" t="str">
        <f>"Утверждено на " &amp; god+3 &amp; " (план)"</f>
        <v>Утверждено на 2023 (план)</v>
      </c>
      <c r="BG7" s="285" t="str">
        <f>"Утверждено на " &amp; god+3 &amp; " (корректировка)"</f>
        <v>Утверждено на 2023 (корректировка)</v>
      </c>
      <c r="BH7" s="285" t="str">
        <f>"Утверждено на " &amp; god+3 &amp; " (дельта)"</f>
        <v>Утверждено на 2023 (дельта)</v>
      </c>
      <c r="BI7" s="285" t="str">
        <f>"Утверждено на " &amp; god+4 &amp; " (план)"</f>
        <v>Утверждено на 2024 (план)</v>
      </c>
      <c r="BJ7" s="285" t="str">
        <f>"Утверждено на " &amp; god+4 &amp; " (корректировка)"</f>
        <v>Утверждено на 2024 (корректировка)</v>
      </c>
      <c r="BK7" s="285" t="str">
        <f>"Утверждено на " &amp; god+4 &amp; " (дельта)"</f>
        <v>Утверждено на 2024 (дельта)</v>
      </c>
      <c r="BL7" s="412" t="str">
        <f>"Утверждено на оставшийся период (план)"</f>
        <v>Утверждено на оставшийся период (план)</v>
      </c>
      <c r="BM7" s="412" t="str">
        <f>"Утверждено на оставшийся период (корректировка)"</f>
        <v>Утверждено на оставшийся период (корректировка)</v>
      </c>
      <c r="BN7" s="412" t="str">
        <f>"Утверждено на оставшийся период (дельта)"</f>
        <v>Утверждено на оставшийся период (дельта)</v>
      </c>
      <c r="BO7" s="144"/>
      <c r="BP7" s="145"/>
    </row>
    <row r="8" spans="3:71" ht="24" customHeight="1">
      <c r="C8" s="45"/>
      <c r="D8" s="411"/>
      <c r="E8" s="411"/>
      <c r="F8" s="411"/>
      <c r="G8" s="409"/>
      <c r="H8" s="285" t="s">
        <v>157</v>
      </c>
      <c r="I8" s="285" t="s">
        <v>158</v>
      </c>
      <c r="J8" s="285" t="s">
        <v>159</v>
      </c>
      <c r="K8" s="409"/>
      <c r="L8" s="413"/>
      <c r="M8" s="409"/>
      <c r="N8" s="417"/>
      <c r="O8" s="418"/>
      <c r="P8" s="413"/>
      <c r="Q8" s="413"/>
      <c r="R8" s="413"/>
      <c r="S8" s="285" t="s">
        <v>157</v>
      </c>
      <c r="T8" s="285" t="s">
        <v>158</v>
      </c>
      <c r="U8" s="285" t="s">
        <v>159</v>
      </c>
      <c r="V8" s="285" t="s">
        <v>312</v>
      </c>
      <c r="W8" s="285" t="s">
        <v>159</v>
      </c>
      <c r="X8" s="285" t="s">
        <v>313</v>
      </c>
      <c r="Y8" s="285" t="s">
        <v>314</v>
      </c>
      <c r="Z8" s="285" t="s">
        <v>157</v>
      </c>
      <c r="AA8" s="285" t="s">
        <v>158</v>
      </c>
      <c r="AB8" s="285" t="s">
        <v>159</v>
      </c>
      <c r="AC8" s="285" t="s">
        <v>312</v>
      </c>
      <c r="AD8" s="285" t="s">
        <v>159</v>
      </c>
      <c r="AE8" s="417"/>
      <c r="AF8" s="418"/>
      <c r="AG8" s="409"/>
      <c r="AH8" s="413"/>
      <c r="AI8" s="413"/>
      <c r="AJ8" s="413"/>
      <c r="AK8" s="413"/>
      <c r="AL8" s="413"/>
      <c r="AM8" s="413"/>
      <c r="AN8" s="413"/>
      <c r="AO8" s="413"/>
      <c r="AP8" s="409"/>
      <c r="AQ8" s="413"/>
      <c r="AR8" s="413"/>
      <c r="AS8" s="413"/>
      <c r="AT8" s="413"/>
      <c r="AU8" s="413"/>
      <c r="AV8" s="413"/>
      <c r="AW8" s="285" t="s">
        <v>141</v>
      </c>
      <c r="AX8" s="285" t="s">
        <v>141</v>
      </c>
      <c r="AY8" s="285" t="s">
        <v>141</v>
      </c>
      <c r="AZ8" s="285" t="s">
        <v>141</v>
      </c>
      <c r="BA8" s="285" t="s">
        <v>141</v>
      </c>
      <c r="BB8" s="285" t="s">
        <v>141</v>
      </c>
      <c r="BC8" s="285" t="s">
        <v>141</v>
      </c>
      <c r="BD8" s="285" t="s">
        <v>141</v>
      </c>
      <c r="BE8" s="285" t="s">
        <v>141</v>
      </c>
      <c r="BF8" s="285" t="s">
        <v>141</v>
      </c>
      <c r="BG8" s="285" t="s">
        <v>141</v>
      </c>
      <c r="BH8" s="285" t="s">
        <v>141</v>
      </c>
      <c r="BI8" s="285" t="s">
        <v>141</v>
      </c>
      <c r="BJ8" s="285" t="s">
        <v>141</v>
      </c>
      <c r="BK8" s="285" t="s">
        <v>141</v>
      </c>
      <c r="BL8" s="413"/>
      <c r="BM8" s="413"/>
      <c r="BN8" s="413"/>
      <c r="BO8" s="144"/>
      <c r="BP8" s="145"/>
    </row>
    <row r="9" spans="3:71" ht="15" customHeight="1">
      <c r="C9" s="45"/>
      <c r="D9" s="55"/>
      <c r="E9" s="96"/>
      <c r="F9" s="96"/>
      <c r="G9" s="56"/>
      <c r="H9" s="56"/>
      <c r="I9" s="56"/>
      <c r="J9" s="56"/>
      <c r="K9" s="56"/>
      <c r="L9" s="56"/>
      <c r="M9" s="56"/>
      <c r="N9" s="56"/>
      <c r="O9" s="56"/>
      <c r="P9" s="56"/>
      <c r="Q9" s="56"/>
      <c r="R9" s="56"/>
      <c r="S9" s="56"/>
      <c r="T9" s="56"/>
      <c r="U9" s="56"/>
      <c r="V9" s="56"/>
      <c r="W9" s="56"/>
      <c r="X9" s="56"/>
      <c r="Y9" s="56"/>
      <c r="Z9" s="56"/>
      <c r="AA9" s="56"/>
      <c r="AB9" s="56"/>
      <c r="AC9" s="56"/>
      <c r="AD9" s="56"/>
      <c r="AE9" s="56"/>
      <c r="AF9" s="56"/>
      <c r="AG9" s="278" t="s">
        <v>366</v>
      </c>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99"/>
    </row>
    <row r="10" spans="3:71">
      <c r="C10" s="45"/>
      <c r="D10" s="290"/>
      <c r="E10" s="48"/>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01"/>
      <c r="AF10" s="287"/>
      <c r="AG10" s="201" t="s">
        <v>141</v>
      </c>
      <c r="AH10" s="287"/>
      <c r="AI10" s="287"/>
      <c r="AJ10" s="287"/>
      <c r="AK10" s="287"/>
      <c r="AL10" s="287"/>
      <c r="AM10" s="287"/>
      <c r="AN10" s="287"/>
      <c r="AO10" s="287"/>
      <c r="AP10" s="287"/>
      <c r="AQ10" s="100">
        <f t="shared" ref="AQ10:AQ26" si="0">SUM(AT10,AW10,AZ10,BC10,BF10,BI10,BL10)</f>
        <v>8739529.4152866919</v>
      </c>
      <c r="AR10" s="100">
        <f t="shared" ref="AR10:AR26" si="1">SUM(AT10,AX10,BA10,BD10,BG10,BJ10,BM10)</f>
        <v>0</v>
      </c>
      <c r="AS10" s="100">
        <f t="shared" ref="AS10:AS26" si="2">AQ10-AR10</f>
        <v>8739529.4152866919</v>
      </c>
      <c r="AT10" s="101">
        <f>AT11+AT16+AT20+AT24</f>
        <v>0</v>
      </c>
      <c r="AU10" s="101">
        <f>AU11+AU16+AU20+AU24</f>
        <v>0</v>
      </c>
      <c r="AV10" s="101">
        <f>AV11+AV16+AV20+AV24</f>
        <v>0</v>
      </c>
      <c r="AW10" s="101">
        <f>AW11+AW16+AW20+AW24</f>
        <v>1606497.0786813826</v>
      </c>
      <c r="AX10" s="101">
        <f>AX11+AX16+AX20+AX24</f>
        <v>0</v>
      </c>
      <c r="AY10" s="101">
        <f t="shared" ref="AY10:AY26" si="3">AW10-AX10</f>
        <v>1606497.0786813826</v>
      </c>
      <c r="AZ10" s="101">
        <f>AZ11+AZ16+AZ20+AZ24</f>
        <v>2580799.1324640852</v>
      </c>
      <c r="BA10" s="101">
        <f>BA11+BA16+BA20+BA24</f>
        <v>0</v>
      </c>
      <c r="BB10" s="101">
        <f t="shared" ref="BB10:BB26" si="4">AZ10-BA10</f>
        <v>2580799.1324640852</v>
      </c>
      <c r="BC10" s="101">
        <f>BC11+BC16+BC20+BC24</f>
        <v>4552233.2041412238</v>
      </c>
      <c r="BD10" s="101">
        <f>BD11+BD16+BD20+BD24</f>
        <v>0</v>
      </c>
      <c r="BE10" s="101">
        <f t="shared" ref="BE10:BE26" si="5">BC10-BD10</f>
        <v>4552233.2041412238</v>
      </c>
      <c r="BF10" s="101">
        <f>BF11+BF16+BF20+BF24</f>
        <v>0</v>
      </c>
      <c r="BG10" s="101">
        <f>BG11+BG16+BG20+BG24</f>
        <v>0</v>
      </c>
      <c r="BH10" s="101">
        <f t="shared" ref="BH10:BH26" si="6">BF10-BG10</f>
        <v>0</v>
      </c>
      <c r="BI10" s="101">
        <f>BI11+BI16+BI20+BI24</f>
        <v>0</v>
      </c>
      <c r="BJ10" s="101">
        <f>BJ11+BJ16+BJ20+BJ24</f>
        <v>0</v>
      </c>
      <c r="BK10" s="101">
        <f t="shared" ref="BK10:BK26" si="7">BI10-BJ10</f>
        <v>0</v>
      </c>
      <c r="BL10" s="101">
        <f>BL11+BL16+BL20+BL24</f>
        <v>0</v>
      </c>
      <c r="BM10" s="101">
        <f>BM11+BM16+BM20+BM24</f>
        <v>0</v>
      </c>
      <c r="BN10" s="100">
        <f>BL10-BM10</f>
        <v>0</v>
      </c>
      <c r="BO10" s="146"/>
      <c r="BP10" s="147"/>
    </row>
    <row r="11" spans="3:71">
      <c r="C11" s="45"/>
      <c r="D11" s="291"/>
      <c r="E11" s="10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01"/>
      <c r="AF11" s="292">
        <v>1</v>
      </c>
      <c r="AG11" s="201" t="s">
        <v>218</v>
      </c>
      <c r="AH11" s="287"/>
      <c r="AI11" s="287"/>
      <c r="AJ11" s="287"/>
      <c r="AK11" s="287"/>
      <c r="AL11" s="287"/>
      <c r="AM11" s="287"/>
      <c r="AN11" s="287"/>
      <c r="AO11" s="287"/>
      <c r="AP11" s="275"/>
      <c r="AQ11" s="100">
        <f t="shared" si="0"/>
        <v>4589430.439503938</v>
      </c>
      <c r="AR11" s="100">
        <f t="shared" si="1"/>
        <v>0</v>
      </c>
      <c r="AS11" s="100">
        <f t="shared" si="2"/>
        <v>4589430.439503938</v>
      </c>
      <c r="AT11" s="102">
        <f>AT12+AT13+AT14+AT15</f>
        <v>0</v>
      </c>
      <c r="AU11" s="102">
        <f>AU12+AU13+AU14+AU15</f>
        <v>0</v>
      </c>
      <c r="AV11" s="102">
        <f>AV12+AV13+AV14+AV15</f>
        <v>0</v>
      </c>
      <c r="AW11" s="102">
        <f>AW12+AW13+AW14+AW15</f>
        <v>1354217.8823009296</v>
      </c>
      <c r="AX11" s="102">
        <f>AX12+AX13+AX14+AX15</f>
        <v>0</v>
      </c>
      <c r="AY11" s="101">
        <f t="shared" si="3"/>
        <v>1354217.8823009296</v>
      </c>
      <c r="AZ11" s="102">
        <f>AZ12+AZ13+AZ14+AZ15</f>
        <v>1638173.6667811901</v>
      </c>
      <c r="BA11" s="102">
        <f>BA12+BA13+BA14+BA15</f>
        <v>0</v>
      </c>
      <c r="BB11" s="101">
        <f t="shared" si="4"/>
        <v>1638173.6667811901</v>
      </c>
      <c r="BC11" s="102">
        <f>BC12+BC13+BC14+BC15</f>
        <v>1597038.890421818</v>
      </c>
      <c r="BD11" s="102">
        <f>BD12+BD13+BD14+BD15</f>
        <v>0</v>
      </c>
      <c r="BE11" s="101">
        <f t="shared" si="5"/>
        <v>1597038.890421818</v>
      </c>
      <c r="BF11" s="102">
        <f>BF12+BF13+BF14+BF15</f>
        <v>0</v>
      </c>
      <c r="BG11" s="102">
        <f>BG12+BG13+BG14+BG15</f>
        <v>0</v>
      </c>
      <c r="BH11" s="101">
        <f t="shared" si="6"/>
        <v>0</v>
      </c>
      <c r="BI11" s="102">
        <f>BI12+BI13+BI14+BI15</f>
        <v>0</v>
      </c>
      <c r="BJ11" s="102">
        <f>BJ12+BJ13+BJ14+BJ15</f>
        <v>0</v>
      </c>
      <c r="BK11" s="101">
        <f t="shared" si="7"/>
        <v>0</v>
      </c>
      <c r="BL11" s="102"/>
      <c r="BM11" s="102">
        <f>BM12+BM13+BM14+BM15</f>
        <v>0</v>
      </c>
      <c r="BN11" s="100">
        <f t="shared" ref="BN11:BN26" si="8">BL11-BM11</f>
        <v>0</v>
      </c>
      <c r="BO11" s="99"/>
      <c r="BP11" s="48"/>
    </row>
    <row r="12" spans="3:71" ht="11.25" customHeight="1">
      <c r="C12" s="45"/>
      <c r="D12" s="293"/>
      <c r="E12" s="107"/>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5"/>
      <c r="AF12" s="296" t="s">
        <v>219</v>
      </c>
      <c r="AG12" s="297" t="s">
        <v>240</v>
      </c>
      <c r="AH12" s="276"/>
      <c r="AI12" s="276"/>
      <c r="AJ12" s="276"/>
      <c r="AK12" s="276"/>
      <c r="AL12" s="276"/>
      <c r="AM12" s="276"/>
      <c r="AN12" s="276"/>
      <c r="AO12" s="276"/>
      <c r="AP12" s="276"/>
      <c r="AQ12" s="103">
        <f t="shared" si="0"/>
        <v>245843.12405552843</v>
      </c>
      <c r="AR12" s="103">
        <f t="shared" si="1"/>
        <v>0</v>
      </c>
      <c r="AS12" s="103">
        <f t="shared" si="2"/>
        <v>245843.12405552843</v>
      </c>
      <c r="AT12" s="104">
        <f t="shared" ref="AT12:AU15" si="9">SUMIF($AG$49:$AG$837,$AG12,AT$49:AT$837)</f>
        <v>0</v>
      </c>
      <c r="AU12" s="104">
        <f t="shared" si="9"/>
        <v>0</v>
      </c>
      <c r="AV12" s="104">
        <f t="shared" ref="AV12:AX15" si="10">SUMIF($BS$49:$BS$837,$BS12,AV$49:AV$837)</f>
        <v>0</v>
      </c>
      <c r="AW12" s="104">
        <f t="shared" si="10"/>
        <v>35142.808036841467</v>
      </c>
      <c r="AX12" s="104">
        <f t="shared" si="10"/>
        <v>0</v>
      </c>
      <c r="AY12" s="194">
        <f t="shared" si="3"/>
        <v>35142.808036841467</v>
      </c>
      <c r="AZ12" s="104">
        <f t="shared" ref="AZ12:BA15" si="11">SUMIF($BS$49:$BS$837,$BS12,AZ$49:AZ$837)</f>
        <v>100686.21471167474</v>
      </c>
      <c r="BA12" s="104">
        <f t="shared" si="11"/>
        <v>0</v>
      </c>
      <c r="BB12" s="194">
        <f t="shared" si="4"/>
        <v>100686.21471167474</v>
      </c>
      <c r="BC12" s="104">
        <f t="shared" ref="BC12:BD15" si="12">SUMIF($BS$49:$BS$837,$BS12,BC$49:BC$837)</f>
        <v>110014.10130701223</v>
      </c>
      <c r="BD12" s="104">
        <f t="shared" si="12"/>
        <v>0</v>
      </c>
      <c r="BE12" s="194">
        <f t="shared" si="5"/>
        <v>110014.10130701223</v>
      </c>
      <c r="BF12" s="104">
        <f t="shared" ref="BF12:BG15" si="13">SUMIF($BS$49:$BS$837,$BS12,BF$49:BF$837)</f>
        <v>0</v>
      </c>
      <c r="BG12" s="104">
        <f t="shared" si="13"/>
        <v>0</v>
      </c>
      <c r="BH12" s="194">
        <f t="shared" si="6"/>
        <v>0</v>
      </c>
      <c r="BI12" s="104">
        <f t="shared" ref="BI12:BJ15" si="14">SUMIF($BS$49:$BS$837,$BS12,BI$49:BI$837)</f>
        <v>0</v>
      </c>
      <c r="BJ12" s="104">
        <f t="shared" si="14"/>
        <v>0</v>
      </c>
      <c r="BK12" s="194">
        <f t="shared" si="7"/>
        <v>0</v>
      </c>
      <c r="BL12" s="104">
        <f>SUMIF($BS$49:$BS$837,$BS12,BL$49:BL$837)</f>
        <v>0</v>
      </c>
      <c r="BM12" s="104">
        <f>SUMIF($BS$49:$BS$837,$BS12,BM$49:BM$837)</f>
        <v>0</v>
      </c>
      <c r="BN12" s="103">
        <f t="shared" si="8"/>
        <v>0</v>
      </c>
      <c r="BO12" s="99"/>
      <c r="BP12" s="48"/>
      <c r="BS12" s="249" t="str">
        <f>AG12 &amp; "0"</f>
        <v>Прибыль направляемая на инвестиции0</v>
      </c>
    </row>
    <row r="13" spans="3:71">
      <c r="C13" s="45"/>
      <c r="D13" s="293"/>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290"/>
      <c r="AF13" s="296" t="s">
        <v>220</v>
      </c>
      <c r="AG13" s="298" t="s">
        <v>221</v>
      </c>
      <c r="AH13" s="277"/>
      <c r="AI13" s="277"/>
      <c r="AJ13" s="277"/>
      <c r="AK13" s="277"/>
      <c r="AL13" s="277"/>
      <c r="AM13" s="277"/>
      <c r="AN13" s="277"/>
      <c r="AO13" s="277"/>
      <c r="AP13" s="277"/>
      <c r="AQ13" s="103">
        <f t="shared" si="0"/>
        <v>2423702.732991592</v>
      </c>
      <c r="AR13" s="103">
        <f t="shared" si="1"/>
        <v>0</v>
      </c>
      <c r="AS13" s="103">
        <f t="shared" si="2"/>
        <v>2423702.732991592</v>
      </c>
      <c r="AT13" s="104">
        <f t="shared" si="9"/>
        <v>0</v>
      </c>
      <c r="AU13" s="104">
        <f t="shared" si="9"/>
        <v>0</v>
      </c>
      <c r="AV13" s="104">
        <f t="shared" si="10"/>
        <v>0</v>
      </c>
      <c r="AW13" s="104">
        <f t="shared" si="10"/>
        <v>793117.61814657343</v>
      </c>
      <c r="AX13" s="104">
        <f t="shared" si="10"/>
        <v>0</v>
      </c>
      <c r="AY13" s="194">
        <f t="shared" si="3"/>
        <v>793117.61814657343</v>
      </c>
      <c r="AZ13" s="104">
        <f t="shared" si="11"/>
        <v>836777.65768125537</v>
      </c>
      <c r="BA13" s="104">
        <f t="shared" si="11"/>
        <v>0</v>
      </c>
      <c r="BB13" s="194">
        <f t="shared" si="4"/>
        <v>836777.65768125537</v>
      </c>
      <c r="BC13" s="104">
        <f t="shared" si="12"/>
        <v>793807.45716376312</v>
      </c>
      <c r="BD13" s="104">
        <f t="shared" si="12"/>
        <v>0</v>
      </c>
      <c r="BE13" s="194">
        <f t="shared" si="5"/>
        <v>793807.45716376312</v>
      </c>
      <c r="BF13" s="104">
        <f t="shared" si="13"/>
        <v>0</v>
      </c>
      <c r="BG13" s="104">
        <f t="shared" si="13"/>
        <v>0</v>
      </c>
      <c r="BH13" s="194">
        <f t="shared" si="6"/>
        <v>0</v>
      </c>
      <c r="BI13" s="104">
        <f t="shared" si="14"/>
        <v>0</v>
      </c>
      <c r="BJ13" s="104">
        <f t="shared" si="14"/>
        <v>0</v>
      </c>
      <c r="BK13" s="194">
        <f t="shared" si="7"/>
        <v>0</v>
      </c>
      <c r="BL13" s="104">
        <f>SUMIF($BS$49:$BS$837,$BS13,BL$49:BL$837)</f>
        <v>0</v>
      </c>
      <c r="BM13" s="104">
        <f>SUMIF($BS$49:$BS$837,$BS13,BM$49:BM$837)</f>
        <v>0</v>
      </c>
      <c r="BN13" s="103">
        <f t="shared" si="8"/>
        <v>0</v>
      </c>
      <c r="BO13" s="99"/>
      <c r="BP13" s="48"/>
      <c r="BS13" s="249" t="str">
        <f>AG13 &amp; "0"</f>
        <v>Амортизационные отчисления0</v>
      </c>
    </row>
    <row r="14" spans="3:71">
      <c r="C14" s="45"/>
      <c r="D14" s="293"/>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290"/>
      <c r="AF14" s="296" t="s">
        <v>222</v>
      </c>
      <c r="AG14" s="298" t="s">
        <v>223</v>
      </c>
      <c r="AH14" s="277"/>
      <c r="AI14" s="277"/>
      <c r="AJ14" s="277"/>
      <c r="AK14" s="277"/>
      <c r="AL14" s="277"/>
      <c r="AM14" s="277"/>
      <c r="AN14" s="277"/>
      <c r="AO14" s="277"/>
      <c r="AP14" s="277"/>
      <c r="AQ14" s="103">
        <f t="shared" si="0"/>
        <v>764905.07325065532</v>
      </c>
      <c r="AR14" s="103">
        <f t="shared" si="1"/>
        <v>0</v>
      </c>
      <c r="AS14" s="103">
        <f t="shared" si="2"/>
        <v>764905.07325065532</v>
      </c>
      <c r="AT14" s="104">
        <f t="shared" si="9"/>
        <v>0</v>
      </c>
      <c r="AU14" s="104">
        <f t="shared" si="9"/>
        <v>0</v>
      </c>
      <c r="AV14" s="104">
        <f t="shared" si="10"/>
        <v>0</v>
      </c>
      <c r="AW14" s="104">
        <f t="shared" si="10"/>
        <v>225702.98038348777</v>
      </c>
      <c r="AX14" s="104">
        <f t="shared" si="10"/>
        <v>0</v>
      </c>
      <c r="AY14" s="194">
        <f t="shared" si="3"/>
        <v>225702.98038348777</v>
      </c>
      <c r="AZ14" s="104">
        <f t="shared" si="11"/>
        <v>273028.94446353137</v>
      </c>
      <c r="BA14" s="104">
        <f t="shared" si="11"/>
        <v>0</v>
      </c>
      <c r="BB14" s="194">
        <f t="shared" si="4"/>
        <v>273028.94446353137</v>
      </c>
      <c r="BC14" s="104">
        <f t="shared" si="12"/>
        <v>266173.14840363618</v>
      </c>
      <c r="BD14" s="104">
        <f t="shared" si="12"/>
        <v>0</v>
      </c>
      <c r="BE14" s="194">
        <f t="shared" si="5"/>
        <v>266173.14840363618</v>
      </c>
      <c r="BF14" s="104">
        <f t="shared" si="13"/>
        <v>0</v>
      </c>
      <c r="BG14" s="104">
        <f t="shared" si="13"/>
        <v>0</v>
      </c>
      <c r="BH14" s="194">
        <f t="shared" si="6"/>
        <v>0</v>
      </c>
      <c r="BI14" s="104">
        <f t="shared" si="14"/>
        <v>0</v>
      </c>
      <c r="BJ14" s="104">
        <f t="shared" si="14"/>
        <v>0</v>
      </c>
      <c r="BK14" s="194">
        <f t="shared" si="7"/>
        <v>0</v>
      </c>
      <c r="BL14" s="104"/>
      <c r="BM14" s="104">
        <f>SUMIF($BS$49:$BS$837,$BS14,BM$49:BM$837)</f>
        <v>0</v>
      </c>
      <c r="BN14" s="103">
        <f t="shared" si="8"/>
        <v>0</v>
      </c>
      <c r="BO14" s="99"/>
      <c r="BP14" s="48"/>
      <c r="BS14" s="249" t="str">
        <f>AG14 &amp; "0"</f>
        <v>Прочие собственные средства0</v>
      </c>
    </row>
    <row r="15" spans="3:71" ht="11.25" customHeight="1">
      <c r="C15" s="45"/>
      <c r="D15" s="293"/>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290"/>
      <c r="AF15" s="296" t="s">
        <v>318</v>
      </c>
      <c r="AG15" s="297" t="s">
        <v>327</v>
      </c>
      <c r="AH15" s="276"/>
      <c r="AI15" s="276"/>
      <c r="AJ15" s="276"/>
      <c r="AK15" s="276"/>
      <c r="AL15" s="276"/>
      <c r="AM15" s="276"/>
      <c r="AN15" s="276"/>
      <c r="AO15" s="276"/>
      <c r="AP15" s="277"/>
      <c r="AQ15" s="103">
        <f>SUM(AT15,AW15,AZ15,BC15,BF15,BI15,BL15)</f>
        <v>1154979.5092061621</v>
      </c>
      <c r="AR15" s="103">
        <f>SUM(AT15,AX15,BA15,BD15,BG15,BJ15,BM15)</f>
        <v>0</v>
      </c>
      <c r="AS15" s="103">
        <f>AQ15-AR15</f>
        <v>1154979.5092061621</v>
      </c>
      <c r="AT15" s="104">
        <f t="shared" si="9"/>
        <v>0</v>
      </c>
      <c r="AU15" s="104">
        <f t="shared" si="9"/>
        <v>0</v>
      </c>
      <c r="AV15" s="104">
        <f t="shared" si="10"/>
        <v>0</v>
      </c>
      <c r="AW15" s="104">
        <f t="shared" si="10"/>
        <v>300254.47573402699</v>
      </c>
      <c r="AX15" s="104">
        <f t="shared" si="10"/>
        <v>0</v>
      </c>
      <c r="AY15" s="194">
        <f>AW15-AX15</f>
        <v>300254.47573402699</v>
      </c>
      <c r="AZ15" s="104">
        <f t="shared" si="11"/>
        <v>427680.84992472857</v>
      </c>
      <c r="BA15" s="104">
        <f t="shared" si="11"/>
        <v>0</v>
      </c>
      <c r="BB15" s="194">
        <f>AZ15-BA15</f>
        <v>427680.84992472857</v>
      </c>
      <c r="BC15" s="104">
        <f t="shared" si="12"/>
        <v>427044.1835474064</v>
      </c>
      <c r="BD15" s="104">
        <f t="shared" si="12"/>
        <v>0</v>
      </c>
      <c r="BE15" s="194">
        <f>BC15-BD15</f>
        <v>427044.1835474064</v>
      </c>
      <c r="BF15" s="104">
        <f t="shared" si="13"/>
        <v>0</v>
      </c>
      <c r="BG15" s="104">
        <f t="shared" si="13"/>
        <v>0</v>
      </c>
      <c r="BH15" s="194">
        <f>BF15-BG15</f>
        <v>0</v>
      </c>
      <c r="BI15" s="104">
        <f t="shared" si="14"/>
        <v>0</v>
      </c>
      <c r="BJ15" s="104">
        <f t="shared" si="14"/>
        <v>0</v>
      </c>
      <c r="BK15" s="194">
        <f>BI15-BJ15</f>
        <v>0</v>
      </c>
      <c r="BL15" s="104">
        <f>SUMIF($BS$49:$BS$837,$BS15,BL$49:BL$837)</f>
        <v>0</v>
      </c>
      <c r="BM15" s="104">
        <f>SUMIF($BS$49:$BS$837,$BS15,BM$49:BM$837)</f>
        <v>0</v>
      </c>
      <c r="BN15" s="103">
        <f>BL15-BM15</f>
        <v>0</v>
      </c>
      <c r="BO15" s="99"/>
      <c r="BP15" s="48"/>
      <c r="BS15" s="249" t="str">
        <f>AG15 &amp; "0"</f>
        <v>За счет платы за технологическое присоединение0</v>
      </c>
    </row>
    <row r="16" spans="3:71">
      <c r="C16" s="45"/>
      <c r="D16" s="291"/>
      <c r="E16" s="10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01"/>
      <c r="AF16" s="292" t="s">
        <v>118</v>
      </c>
      <c r="AG16" s="201" t="s">
        <v>224</v>
      </c>
      <c r="AH16" s="287"/>
      <c r="AI16" s="287"/>
      <c r="AJ16" s="287"/>
      <c r="AK16" s="287"/>
      <c r="AL16" s="287"/>
      <c r="AM16" s="287"/>
      <c r="AN16" s="287"/>
      <c r="AO16" s="287"/>
      <c r="AP16" s="107"/>
      <c r="AQ16" s="100">
        <f t="shared" si="0"/>
        <v>3355067.073146984</v>
      </c>
      <c r="AR16" s="100">
        <f t="shared" si="1"/>
        <v>0</v>
      </c>
      <c r="AS16" s="100">
        <f t="shared" si="2"/>
        <v>3355067.073146984</v>
      </c>
      <c r="AT16" s="102">
        <f>SUM(AT17:AT19)</f>
        <v>0</v>
      </c>
      <c r="AU16" s="102">
        <f>SUM(AU17:AU19)</f>
        <v>0</v>
      </c>
      <c r="AV16" s="102">
        <f>SUM(AV17:AV19)</f>
        <v>0</v>
      </c>
      <c r="AW16" s="102">
        <f>SUM(AW17:AW19)</f>
        <v>0</v>
      </c>
      <c r="AX16" s="102">
        <f>SUM(AX17:AX19)</f>
        <v>0</v>
      </c>
      <c r="AY16" s="101">
        <f t="shared" si="3"/>
        <v>0</v>
      </c>
      <c r="AZ16" s="102">
        <f>SUM(AZ17:AZ19)</f>
        <v>677480.03028703923</v>
      </c>
      <c r="BA16" s="102">
        <f>SUM(BA17:BA19)</f>
        <v>0</v>
      </c>
      <c r="BB16" s="101">
        <f t="shared" si="4"/>
        <v>677480.03028703923</v>
      </c>
      <c r="BC16" s="102">
        <f>SUM(BC17:BC19)</f>
        <v>2677587.042859945</v>
      </c>
      <c r="BD16" s="102">
        <f>SUM(BD17:BD19)</f>
        <v>0</v>
      </c>
      <c r="BE16" s="101">
        <f t="shared" si="5"/>
        <v>2677587.042859945</v>
      </c>
      <c r="BF16" s="102">
        <f>SUM(BF17:BF19)</f>
        <v>0</v>
      </c>
      <c r="BG16" s="102">
        <f>SUM(BG17:BG19)</f>
        <v>0</v>
      </c>
      <c r="BH16" s="101">
        <f t="shared" si="6"/>
        <v>0</v>
      </c>
      <c r="BI16" s="102">
        <f>SUM(BI17:BI19)</f>
        <v>0</v>
      </c>
      <c r="BJ16" s="102">
        <f>SUM(BJ17:BJ19)</f>
        <v>0</v>
      </c>
      <c r="BK16" s="101">
        <f t="shared" si="7"/>
        <v>0</v>
      </c>
      <c r="BL16" s="102">
        <f>SUM(BL17:BL19)</f>
        <v>0</v>
      </c>
      <c r="BM16" s="102">
        <f>SUM(BM17:BM19)</f>
        <v>0</v>
      </c>
      <c r="BN16" s="100">
        <f t="shared" si="8"/>
        <v>0</v>
      </c>
      <c r="BO16" s="99"/>
      <c r="BP16" s="48"/>
      <c r="BS16" s="250"/>
    </row>
    <row r="17" spans="3:78">
      <c r="C17" s="45"/>
      <c r="D17" s="293"/>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290"/>
      <c r="AF17" s="296" t="s">
        <v>225</v>
      </c>
      <c r="AG17" s="298" t="s">
        <v>226</v>
      </c>
      <c r="AH17" s="277"/>
      <c r="AI17" s="277"/>
      <c r="AJ17" s="277"/>
      <c r="AK17" s="277"/>
      <c r="AL17" s="277"/>
      <c r="AM17" s="277"/>
      <c r="AN17" s="277"/>
      <c r="AO17" s="277"/>
      <c r="AP17" s="277"/>
      <c r="AQ17" s="103">
        <f t="shared" si="0"/>
        <v>2795889.2276224876</v>
      </c>
      <c r="AR17" s="103">
        <f t="shared" si="1"/>
        <v>0</v>
      </c>
      <c r="AS17" s="103">
        <f t="shared" si="2"/>
        <v>2795889.2276224876</v>
      </c>
      <c r="AT17" s="104">
        <f t="shared" ref="AT17:AU19" si="15">SUMIF($AG$49:$AG$837,$AG17,AT$49:AT$837)</f>
        <v>0</v>
      </c>
      <c r="AU17" s="104">
        <f t="shared" si="15"/>
        <v>0</v>
      </c>
      <c r="AV17" s="104">
        <f t="shared" ref="AV17:AX19" si="16">SUMIF($BS$49:$BS$837,$BS17,AV$49:AV$837)</f>
        <v>0</v>
      </c>
      <c r="AW17" s="104">
        <f t="shared" si="16"/>
        <v>0</v>
      </c>
      <c r="AX17" s="104">
        <f t="shared" si="16"/>
        <v>0</v>
      </c>
      <c r="AY17" s="194">
        <f t="shared" si="3"/>
        <v>0</v>
      </c>
      <c r="AZ17" s="104">
        <f t="shared" ref="AZ17:BA19" si="17">SUMIF($BS$49:$BS$837,$BS17,AZ$49:AZ$837)</f>
        <v>564566.69190586649</v>
      </c>
      <c r="BA17" s="104">
        <f t="shared" si="17"/>
        <v>0</v>
      </c>
      <c r="BB17" s="194">
        <f t="shared" si="4"/>
        <v>564566.69190586649</v>
      </c>
      <c r="BC17" s="104">
        <f t="shared" ref="BC17:BD19" si="18">SUMIF($BS$49:$BS$837,$BS17,BC$49:BC$837)</f>
        <v>2231322.5357166212</v>
      </c>
      <c r="BD17" s="104">
        <f t="shared" si="18"/>
        <v>0</v>
      </c>
      <c r="BE17" s="194">
        <f t="shared" si="5"/>
        <v>2231322.5357166212</v>
      </c>
      <c r="BF17" s="104">
        <f t="shared" ref="BF17:BG19" si="19">SUMIF($BS$49:$BS$837,$BS17,BF$49:BF$837)</f>
        <v>0</v>
      </c>
      <c r="BG17" s="104">
        <f t="shared" si="19"/>
        <v>0</v>
      </c>
      <c r="BH17" s="194">
        <f t="shared" si="6"/>
        <v>0</v>
      </c>
      <c r="BI17" s="104">
        <f t="shared" ref="BI17:BJ19" si="20">SUMIF($BS$49:$BS$837,$BS17,BI$49:BI$837)</f>
        <v>0</v>
      </c>
      <c r="BJ17" s="104">
        <f t="shared" si="20"/>
        <v>0</v>
      </c>
      <c r="BK17" s="194">
        <f t="shared" si="7"/>
        <v>0</v>
      </c>
      <c r="BL17" s="104">
        <f t="shared" ref="BL17:BM19" si="21">SUMIF($BS$49:$BS$837,$BS17,BL$49:BL$837)</f>
        <v>0</v>
      </c>
      <c r="BM17" s="104">
        <f t="shared" si="21"/>
        <v>0</v>
      </c>
      <c r="BN17" s="103">
        <f t="shared" si="8"/>
        <v>0</v>
      </c>
      <c r="BO17" s="99"/>
      <c r="BP17" s="48"/>
      <c r="BS17" s="249" t="str">
        <f>AG17 &amp; "0"</f>
        <v>Кредиты0</v>
      </c>
    </row>
    <row r="18" spans="3:78">
      <c r="C18" s="45"/>
      <c r="D18" s="293"/>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290"/>
      <c r="AF18" s="296" t="s">
        <v>227</v>
      </c>
      <c r="AG18" s="298" t="s">
        <v>228</v>
      </c>
      <c r="AH18" s="277"/>
      <c r="AI18" s="277"/>
      <c r="AJ18" s="277"/>
      <c r="AK18" s="277"/>
      <c r="AL18" s="277"/>
      <c r="AM18" s="277"/>
      <c r="AN18" s="277"/>
      <c r="AO18" s="277"/>
      <c r="AP18" s="275"/>
      <c r="AQ18" s="103">
        <f t="shared" si="0"/>
        <v>0</v>
      </c>
      <c r="AR18" s="103">
        <f t="shared" si="1"/>
        <v>0</v>
      </c>
      <c r="AS18" s="103">
        <f t="shared" si="2"/>
        <v>0</v>
      </c>
      <c r="AT18" s="104">
        <f t="shared" si="15"/>
        <v>0</v>
      </c>
      <c r="AU18" s="104">
        <f t="shared" si="15"/>
        <v>0</v>
      </c>
      <c r="AV18" s="104">
        <f t="shared" si="16"/>
        <v>0</v>
      </c>
      <c r="AW18" s="104">
        <f t="shared" si="16"/>
        <v>0</v>
      </c>
      <c r="AX18" s="104">
        <f t="shared" si="16"/>
        <v>0</v>
      </c>
      <c r="AY18" s="194">
        <f t="shared" si="3"/>
        <v>0</v>
      </c>
      <c r="AZ18" s="104">
        <f t="shared" si="17"/>
        <v>0</v>
      </c>
      <c r="BA18" s="104">
        <f t="shared" si="17"/>
        <v>0</v>
      </c>
      <c r="BB18" s="194">
        <f t="shared" si="4"/>
        <v>0</v>
      </c>
      <c r="BC18" s="104">
        <f t="shared" si="18"/>
        <v>0</v>
      </c>
      <c r="BD18" s="104">
        <f t="shared" si="18"/>
        <v>0</v>
      </c>
      <c r="BE18" s="194">
        <f t="shared" si="5"/>
        <v>0</v>
      </c>
      <c r="BF18" s="104">
        <f t="shared" si="19"/>
        <v>0</v>
      </c>
      <c r="BG18" s="104">
        <f t="shared" si="19"/>
        <v>0</v>
      </c>
      <c r="BH18" s="194">
        <f t="shared" si="6"/>
        <v>0</v>
      </c>
      <c r="BI18" s="104">
        <f t="shared" si="20"/>
        <v>0</v>
      </c>
      <c r="BJ18" s="104">
        <f t="shared" si="20"/>
        <v>0</v>
      </c>
      <c r="BK18" s="194">
        <f t="shared" si="7"/>
        <v>0</v>
      </c>
      <c r="BL18" s="104">
        <f t="shared" si="21"/>
        <v>0</v>
      </c>
      <c r="BM18" s="104">
        <f t="shared" si="21"/>
        <v>0</v>
      </c>
      <c r="BN18" s="103">
        <f t="shared" si="8"/>
        <v>0</v>
      </c>
      <c r="BO18" s="99"/>
      <c r="BP18" s="48"/>
      <c r="BS18" s="249" t="str">
        <f>AG18 &amp; "0"</f>
        <v>Займы0</v>
      </c>
    </row>
    <row r="19" spans="3:78" ht="11.25" customHeight="1">
      <c r="C19" s="45"/>
      <c r="D19" s="293"/>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290"/>
      <c r="AF19" s="296" t="s">
        <v>229</v>
      </c>
      <c r="AG19" s="298" t="s">
        <v>230</v>
      </c>
      <c r="AH19" s="277"/>
      <c r="AI19" s="277"/>
      <c r="AJ19" s="277"/>
      <c r="AK19" s="277"/>
      <c r="AL19" s="277"/>
      <c r="AM19" s="277"/>
      <c r="AN19" s="277"/>
      <c r="AO19" s="277"/>
      <c r="AP19" s="277"/>
      <c r="AQ19" s="103">
        <f t="shared" si="0"/>
        <v>559177.84552449652</v>
      </c>
      <c r="AR19" s="103">
        <f t="shared" si="1"/>
        <v>0</v>
      </c>
      <c r="AS19" s="103">
        <f t="shared" si="2"/>
        <v>559177.84552449652</v>
      </c>
      <c r="AT19" s="104">
        <f t="shared" si="15"/>
        <v>0</v>
      </c>
      <c r="AU19" s="104">
        <f t="shared" si="15"/>
        <v>0</v>
      </c>
      <c r="AV19" s="104">
        <f t="shared" si="16"/>
        <v>0</v>
      </c>
      <c r="AW19" s="104">
        <f t="shared" si="16"/>
        <v>0</v>
      </c>
      <c r="AX19" s="104">
        <f t="shared" si="16"/>
        <v>0</v>
      </c>
      <c r="AY19" s="194">
        <f t="shared" si="3"/>
        <v>0</v>
      </c>
      <c r="AZ19" s="104">
        <f t="shared" si="17"/>
        <v>112913.33838117278</v>
      </c>
      <c r="BA19" s="104">
        <f t="shared" si="17"/>
        <v>0</v>
      </c>
      <c r="BB19" s="194">
        <f t="shared" si="4"/>
        <v>112913.33838117278</v>
      </c>
      <c r="BC19" s="104">
        <f t="shared" si="18"/>
        <v>446264.50714332372</v>
      </c>
      <c r="BD19" s="104">
        <f t="shared" si="18"/>
        <v>0</v>
      </c>
      <c r="BE19" s="194">
        <f t="shared" si="5"/>
        <v>446264.50714332372</v>
      </c>
      <c r="BF19" s="104">
        <f t="shared" si="19"/>
        <v>0</v>
      </c>
      <c r="BG19" s="104">
        <f t="shared" si="19"/>
        <v>0</v>
      </c>
      <c r="BH19" s="194">
        <f t="shared" si="6"/>
        <v>0</v>
      </c>
      <c r="BI19" s="104">
        <f t="shared" si="20"/>
        <v>0</v>
      </c>
      <c r="BJ19" s="104">
        <f t="shared" si="20"/>
        <v>0</v>
      </c>
      <c r="BK19" s="194">
        <f t="shared" si="7"/>
        <v>0</v>
      </c>
      <c r="BL19" s="104">
        <f t="shared" si="21"/>
        <v>0</v>
      </c>
      <c r="BM19" s="104">
        <f t="shared" si="21"/>
        <v>0</v>
      </c>
      <c r="BN19" s="103">
        <f t="shared" si="8"/>
        <v>0</v>
      </c>
      <c r="BO19" s="99"/>
      <c r="BS19" s="249" t="str">
        <f>AG19 &amp; "0"</f>
        <v>Прочие привлеченные средства0</v>
      </c>
    </row>
    <row r="20" spans="3:78">
      <c r="C20" s="45"/>
      <c r="D20" s="291"/>
      <c r="E20" s="10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01"/>
      <c r="AF20" s="292" t="s">
        <v>119</v>
      </c>
      <c r="AG20" s="201" t="s">
        <v>231</v>
      </c>
      <c r="AH20" s="287"/>
      <c r="AI20" s="287"/>
      <c r="AJ20" s="287"/>
      <c r="AK20" s="287"/>
      <c r="AL20" s="287"/>
      <c r="AM20" s="287"/>
      <c r="AN20" s="287"/>
      <c r="AO20" s="287"/>
      <c r="AP20" s="275"/>
      <c r="AQ20" s="100">
        <f t="shared" si="0"/>
        <v>0</v>
      </c>
      <c r="AR20" s="100">
        <f t="shared" si="1"/>
        <v>0</v>
      </c>
      <c r="AS20" s="100">
        <f t="shared" si="2"/>
        <v>0</v>
      </c>
      <c r="AT20" s="102">
        <f>SUM(AT21:AT23)</f>
        <v>0</v>
      </c>
      <c r="AU20" s="102">
        <f>SUM(AU21:AU23)</f>
        <v>0</v>
      </c>
      <c r="AV20" s="102">
        <f>SUM(AV21:AV23)</f>
        <v>0</v>
      </c>
      <c r="AW20" s="102">
        <f>SUM(AW21:AW23)</f>
        <v>0</v>
      </c>
      <c r="AX20" s="102">
        <f>SUM(AX21:AX23)</f>
        <v>0</v>
      </c>
      <c r="AY20" s="101">
        <f t="shared" si="3"/>
        <v>0</v>
      </c>
      <c r="AZ20" s="102">
        <f>SUM(AZ21:AZ23)</f>
        <v>0</v>
      </c>
      <c r="BA20" s="102">
        <f>SUM(BA21:BA23)</f>
        <v>0</v>
      </c>
      <c r="BB20" s="101">
        <f t="shared" si="4"/>
        <v>0</v>
      </c>
      <c r="BC20" s="102">
        <f>SUM(BC21:BC23)</f>
        <v>0</v>
      </c>
      <c r="BD20" s="102">
        <f>SUM(BD21:BD23)</f>
        <v>0</v>
      </c>
      <c r="BE20" s="101">
        <f t="shared" si="5"/>
        <v>0</v>
      </c>
      <c r="BF20" s="102">
        <f>SUM(BF21:BF23)</f>
        <v>0</v>
      </c>
      <c r="BG20" s="102">
        <f>SUM(BG21:BG23)</f>
        <v>0</v>
      </c>
      <c r="BH20" s="101">
        <f t="shared" si="6"/>
        <v>0</v>
      </c>
      <c r="BI20" s="102">
        <f>SUM(BI21:BI23)</f>
        <v>0</v>
      </c>
      <c r="BJ20" s="102">
        <f>SUM(BJ21:BJ23)</f>
        <v>0</v>
      </c>
      <c r="BK20" s="101">
        <f t="shared" si="7"/>
        <v>0</v>
      </c>
      <c r="BL20" s="102">
        <f>SUM(BL21:BL23)</f>
        <v>0</v>
      </c>
      <c r="BM20" s="102">
        <f>SUM(BM21:BM23)</f>
        <v>0</v>
      </c>
      <c r="BN20" s="100">
        <f t="shared" si="8"/>
        <v>0</v>
      </c>
      <c r="BO20" s="99"/>
      <c r="BS20" s="250"/>
    </row>
    <row r="21" spans="3:78">
      <c r="C21" s="45"/>
      <c r="D21" s="293"/>
      <c r="E21" s="107"/>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5"/>
      <c r="AF21" s="296" t="s">
        <v>152</v>
      </c>
      <c r="AG21" s="297" t="s">
        <v>232</v>
      </c>
      <c r="AH21" s="276"/>
      <c r="AI21" s="276"/>
      <c r="AJ21" s="276"/>
      <c r="AK21" s="276"/>
      <c r="AL21" s="276"/>
      <c r="AM21" s="276"/>
      <c r="AN21" s="276"/>
      <c r="AO21" s="276"/>
      <c r="AP21" s="276"/>
      <c r="AQ21" s="103">
        <f t="shared" si="0"/>
        <v>0</v>
      </c>
      <c r="AR21" s="103">
        <f t="shared" si="1"/>
        <v>0</v>
      </c>
      <c r="AS21" s="103">
        <f t="shared" si="2"/>
        <v>0</v>
      </c>
      <c r="AT21" s="104">
        <f t="shared" ref="AT21:AU23" si="22">SUMIF($AG$49:$AG$837,$AG21,AT$49:AT$837)</f>
        <v>0</v>
      </c>
      <c r="AU21" s="104">
        <f t="shared" si="22"/>
        <v>0</v>
      </c>
      <c r="AV21" s="104">
        <f t="shared" ref="AV21:AX23" si="23">SUMIF($BS$49:$BS$837,$BS21,AV$49:AV$837)</f>
        <v>0</v>
      </c>
      <c r="AW21" s="104">
        <f t="shared" si="23"/>
        <v>0</v>
      </c>
      <c r="AX21" s="104">
        <f t="shared" si="23"/>
        <v>0</v>
      </c>
      <c r="AY21" s="194">
        <f t="shared" si="3"/>
        <v>0</v>
      </c>
      <c r="AZ21" s="104">
        <f t="shared" ref="AZ21:BA23" si="24">SUMIF($BS$49:$BS$837,$BS21,AZ$49:AZ$837)</f>
        <v>0</v>
      </c>
      <c r="BA21" s="104">
        <f t="shared" si="24"/>
        <v>0</v>
      </c>
      <c r="BB21" s="194">
        <f t="shared" si="4"/>
        <v>0</v>
      </c>
      <c r="BC21" s="104">
        <f t="shared" ref="BC21:BD23" si="25">SUMIF($BS$49:$BS$837,$BS21,BC$49:BC$837)</f>
        <v>0</v>
      </c>
      <c r="BD21" s="104">
        <f t="shared" si="25"/>
        <v>0</v>
      </c>
      <c r="BE21" s="194">
        <f t="shared" si="5"/>
        <v>0</v>
      </c>
      <c r="BF21" s="104">
        <f t="shared" ref="BF21:BG23" si="26">SUMIF($BS$49:$BS$837,$BS21,BF$49:BF$837)</f>
        <v>0</v>
      </c>
      <c r="BG21" s="104">
        <f t="shared" si="26"/>
        <v>0</v>
      </c>
      <c r="BH21" s="194">
        <f t="shared" si="6"/>
        <v>0</v>
      </c>
      <c r="BI21" s="104">
        <f t="shared" ref="BI21:BJ23" si="27">SUMIF($BS$49:$BS$837,$BS21,BI$49:BI$837)</f>
        <v>0</v>
      </c>
      <c r="BJ21" s="104">
        <f t="shared" si="27"/>
        <v>0</v>
      </c>
      <c r="BK21" s="194">
        <f t="shared" si="7"/>
        <v>0</v>
      </c>
      <c r="BL21" s="104">
        <f t="shared" ref="BL21:BM23" si="28">SUMIF($BS$49:$BS$837,$BS21,BL$49:BL$837)</f>
        <v>0</v>
      </c>
      <c r="BM21" s="104">
        <f t="shared" si="28"/>
        <v>0</v>
      </c>
      <c r="BN21" s="103">
        <f t="shared" si="8"/>
        <v>0</v>
      </c>
      <c r="BO21" s="99"/>
      <c r="BS21" s="249" t="str">
        <f>AG21 &amp; "0"</f>
        <v>Федеральный бюджет0</v>
      </c>
    </row>
    <row r="22" spans="3:78">
      <c r="C22" s="45"/>
      <c r="D22" s="293"/>
      <c r="E22" s="107"/>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5"/>
      <c r="AF22" s="296" t="s">
        <v>153</v>
      </c>
      <c r="AG22" s="297" t="s">
        <v>233</v>
      </c>
      <c r="AH22" s="276"/>
      <c r="AI22" s="276"/>
      <c r="AJ22" s="276"/>
      <c r="AK22" s="276"/>
      <c r="AL22" s="276"/>
      <c r="AM22" s="276"/>
      <c r="AN22" s="276"/>
      <c r="AO22" s="276"/>
      <c r="AP22" s="276"/>
      <c r="AQ22" s="103">
        <f t="shared" si="0"/>
        <v>0</v>
      </c>
      <c r="AR22" s="103">
        <f t="shared" si="1"/>
        <v>0</v>
      </c>
      <c r="AS22" s="103">
        <f t="shared" si="2"/>
        <v>0</v>
      </c>
      <c r="AT22" s="104">
        <f t="shared" si="22"/>
        <v>0</v>
      </c>
      <c r="AU22" s="104">
        <f t="shared" si="22"/>
        <v>0</v>
      </c>
      <c r="AV22" s="104">
        <f t="shared" si="23"/>
        <v>0</v>
      </c>
      <c r="AW22" s="104">
        <f t="shared" si="23"/>
        <v>0</v>
      </c>
      <c r="AX22" s="104">
        <f t="shared" si="23"/>
        <v>0</v>
      </c>
      <c r="AY22" s="194">
        <f t="shared" si="3"/>
        <v>0</v>
      </c>
      <c r="AZ22" s="104">
        <f t="shared" si="24"/>
        <v>0</v>
      </c>
      <c r="BA22" s="104">
        <f t="shared" si="24"/>
        <v>0</v>
      </c>
      <c r="BB22" s="194">
        <f t="shared" si="4"/>
        <v>0</v>
      </c>
      <c r="BC22" s="104">
        <f t="shared" si="25"/>
        <v>0</v>
      </c>
      <c r="BD22" s="104">
        <f t="shared" si="25"/>
        <v>0</v>
      </c>
      <c r="BE22" s="194">
        <f t="shared" si="5"/>
        <v>0</v>
      </c>
      <c r="BF22" s="104">
        <f t="shared" si="26"/>
        <v>0</v>
      </c>
      <c r="BG22" s="104">
        <f t="shared" si="26"/>
        <v>0</v>
      </c>
      <c r="BH22" s="194">
        <f t="shared" si="6"/>
        <v>0</v>
      </c>
      <c r="BI22" s="104">
        <f t="shared" si="27"/>
        <v>0</v>
      </c>
      <c r="BJ22" s="104">
        <f t="shared" si="27"/>
        <v>0</v>
      </c>
      <c r="BK22" s="194">
        <f t="shared" si="7"/>
        <v>0</v>
      </c>
      <c r="BL22" s="104">
        <f t="shared" si="28"/>
        <v>0</v>
      </c>
      <c r="BM22" s="104">
        <f t="shared" si="28"/>
        <v>0</v>
      </c>
      <c r="BN22" s="103">
        <f t="shared" si="8"/>
        <v>0</v>
      </c>
      <c r="BO22" s="99"/>
      <c r="BS22" s="249" t="str">
        <f>AG22 &amp; "0"</f>
        <v>Бюджет субъекта РФ0</v>
      </c>
    </row>
    <row r="23" spans="3:78" ht="11.25" customHeight="1">
      <c r="C23" s="45"/>
      <c r="D23" s="293"/>
      <c r="E23" s="107"/>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5"/>
      <c r="AF23" s="296" t="s">
        <v>25</v>
      </c>
      <c r="AG23" s="297" t="s">
        <v>234</v>
      </c>
      <c r="AH23" s="276"/>
      <c r="AI23" s="276"/>
      <c r="AJ23" s="276"/>
      <c r="AK23" s="276"/>
      <c r="AL23" s="276"/>
      <c r="AM23" s="276"/>
      <c r="AN23" s="276"/>
      <c r="AO23" s="276"/>
      <c r="AP23" s="276"/>
      <c r="AQ23" s="103">
        <f t="shared" si="0"/>
        <v>0</v>
      </c>
      <c r="AR23" s="103">
        <f t="shared" si="1"/>
        <v>0</v>
      </c>
      <c r="AS23" s="103">
        <f t="shared" si="2"/>
        <v>0</v>
      </c>
      <c r="AT23" s="104">
        <f t="shared" si="22"/>
        <v>0</v>
      </c>
      <c r="AU23" s="104">
        <f t="shared" si="22"/>
        <v>0</v>
      </c>
      <c r="AV23" s="104">
        <f t="shared" si="23"/>
        <v>0</v>
      </c>
      <c r="AW23" s="104">
        <f t="shared" si="23"/>
        <v>0</v>
      </c>
      <c r="AX23" s="104">
        <f t="shared" si="23"/>
        <v>0</v>
      </c>
      <c r="AY23" s="194">
        <f t="shared" si="3"/>
        <v>0</v>
      </c>
      <c r="AZ23" s="104">
        <f t="shared" si="24"/>
        <v>0</v>
      </c>
      <c r="BA23" s="104">
        <f t="shared" si="24"/>
        <v>0</v>
      </c>
      <c r="BB23" s="194">
        <f t="shared" si="4"/>
        <v>0</v>
      </c>
      <c r="BC23" s="104">
        <f t="shared" si="25"/>
        <v>0</v>
      </c>
      <c r="BD23" s="104">
        <f t="shared" si="25"/>
        <v>0</v>
      </c>
      <c r="BE23" s="194">
        <f t="shared" si="5"/>
        <v>0</v>
      </c>
      <c r="BF23" s="104">
        <f t="shared" si="26"/>
        <v>0</v>
      </c>
      <c r="BG23" s="104">
        <f t="shared" si="26"/>
        <v>0</v>
      </c>
      <c r="BH23" s="194">
        <f t="shared" si="6"/>
        <v>0</v>
      </c>
      <c r="BI23" s="104">
        <f t="shared" si="27"/>
        <v>0</v>
      </c>
      <c r="BJ23" s="104">
        <f t="shared" si="27"/>
        <v>0</v>
      </c>
      <c r="BK23" s="194">
        <f t="shared" si="7"/>
        <v>0</v>
      </c>
      <c r="BL23" s="104">
        <f t="shared" si="28"/>
        <v>0</v>
      </c>
      <c r="BM23" s="104">
        <f t="shared" si="28"/>
        <v>0</v>
      </c>
      <c r="BN23" s="103">
        <f t="shared" si="8"/>
        <v>0</v>
      </c>
      <c r="BO23" s="99"/>
      <c r="BS23" s="249" t="str">
        <f>AG23 &amp; "0"</f>
        <v>Бюджет муниципального образования0</v>
      </c>
    </row>
    <row r="24" spans="3:78" ht="11.25" customHeight="1">
      <c r="C24" s="45"/>
      <c r="D24" s="291"/>
      <c r="E24" s="10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01"/>
      <c r="AF24" s="292" t="s">
        <v>120</v>
      </c>
      <c r="AG24" s="201" t="s">
        <v>235</v>
      </c>
      <c r="AH24" s="287"/>
      <c r="AI24" s="287"/>
      <c r="AJ24" s="287"/>
      <c r="AK24" s="287"/>
      <c r="AL24" s="287"/>
      <c r="AM24" s="287"/>
      <c r="AN24" s="287"/>
      <c r="AO24" s="287"/>
      <c r="AP24" s="275"/>
      <c r="AQ24" s="100">
        <f t="shared" si="0"/>
        <v>795031.90263576992</v>
      </c>
      <c r="AR24" s="100">
        <f t="shared" si="1"/>
        <v>0</v>
      </c>
      <c r="AS24" s="100">
        <f t="shared" si="2"/>
        <v>795031.90263576992</v>
      </c>
      <c r="AT24" s="102">
        <f>SUM(AT25:AT26)</f>
        <v>0</v>
      </c>
      <c r="AU24" s="102">
        <f>SUM(AU25:AU26)</f>
        <v>0</v>
      </c>
      <c r="AV24" s="102">
        <f>SUM(AV25:AV26)</f>
        <v>0</v>
      </c>
      <c r="AW24" s="102">
        <f>SUM(AW25:AW26)</f>
        <v>252279.19638045301</v>
      </c>
      <c r="AX24" s="102">
        <f>SUM(AX25:AX26)</f>
        <v>0</v>
      </c>
      <c r="AY24" s="101">
        <f t="shared" si="3"/>
        <v>252279.19638045301</v>
      </c>
      <c r="AZ24" s="102">
        <f>SUM(AZ25:AZ26)</f>
        <v>265145.43539585598</v>
      </c>
      <c r="BA24" s="102">
        <f>SUM(BA25:BA26)</f>
        <v>0</v>
      </c>
      <c r="BB24" s="101">
        <f t="shared" si="4"/>
        <v>265145.43539585598</v>
      </c>
      <c r="BC24" s="102">
        <f>SUM(BC25:BC26)</f>
        <v>277607.27085946099</v>
      </c>
      <c r="BD24" s="102">
        <f>SUM(BD25:BD26)</f>
        <v>0</v>
      </c>
      <c r="BE24" s="101">
        <f t="shared" si="5"/>
        <v>277607.27085946099</v>
      </c>
      <c r="BF24" s="102">
        <f>SUM(BF25:BF26)</f>
        <v>0</v>
      </c>
      <c r="BG24" s="102">
        <f>SUM(BG25:BG26)</f>
        <v>0</v>
      </c>
      <c r="BH24" s="101">
        <f t="shared" si="6"/>
        <v>0</v>
      </c>
      <c r="BI24" s="102">
        <f>SUM(BI25:BI26)</f>
        <v>0</v>
      </c>
      <c r="BJ24" s="102">
        <f>SUM(BJ25:BJ26)</f>
        <v>0</v>
      </c>
      <c r="BK24" s="101">
        <f t="shared" si="7"/>
        <v>0</v>
      </c>
      <c r="BL24" s="102">
        <f>SUM(BL25:BL26)</f>
        <v>0</v>
      </c>
      <c r="BM24" s="102">
        <f>SUM(BM25:BM26)</f>
        <v>0</v>
      </c>
      <c r="BN24" s="100">
        <f t="shared" si="8"/>
        <v>0</v>
      </c>
      <c r="BO24" s="99"/>
      <c r="BS24" s="250"/>
    </row>
    <row r="25" spans="3:78">
      <c r="C25" s="45"/>
      <c r="D25" s="293"/>
      <c r="E25" s="107"/>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5"/>
      <c r="AF25" s="296" t="s">
        <v>236</v>
      </c>
      <c r="AG25" s="297" t="s">
        <v>237</v>
      </c>
      <c r="AH25" s="276"/>
      <c r="AI25" s="276"/>
      <c r="AJ25" s="276"/>
      <c r="AK25" s="276"/>
      <c r="AL25" s="276"/>
      <c r="AM25" s="276"/>
      <c r="AN25" s="276"/>
      <c r="AO25" s="276"/>
      <c r="AP25" s="276"/>
      <c r="AQ25" s="103">
        <f t="shared" si="0"/>
        <v>0</v>
      </c>
      <c r="AR25" s="103">
        <f t="shared" si="1"/>
        <v>0</v>
      </c>
      <c r="AS25" s="103">
        <f t="shared" si="2"/>
        <v>0</v>
      </c>
      <c r="AT25" s="104">
        <f>SUMIF($AG$49:$AG$837,$AG25,AT$49:AT$837)</f>
        <v>0</v>
      </c>
      <c r="AU25" s="104">
        <f>SUMIF($AG$49:$AG$837,$AG25,AU$49:AU$837)</f>
        <v>0</v>
      </c>
      <c r="AV25" s="104">
        <f t="shared" ref="AV25:AX26" si="29">SUMIF($BS$49:$BS$837,$BS25,AV$49:AV$837)</f>
        <v>0</v>
      </c>
      <c r="AW25" s="104">
        <f t="shared" si="29"/>
        <v>0</v>
      </c>
      <c r="AX25" s="104">
        <f t="shared" si="29"/>
        <v>0</v>
      </c>
      <c r="AY25" s="194">
        <f t="shared" si="3"/>
        <v>0</v>
      </c>
      <c r="AZ25" s="104">
        <f>SUMIF($BS$49:$BS$837,$BS25,AZ$49:AZ$837)</f>
        <v>0</v>
      </c>
      <c r="BA25" s="104">
        <f>SUMIF($BS$49:$BS$837,$BS25,BA$49:BA$837)</f>
        <v>0</v>
      </c>
      <c r="BB25" s="194">
        <f t="shared" si="4"/>
        <v>0</v>
      </c>
      <c r="BC25" s="104">
        <f>SUMIF($BS$49:$BS$837,$BS25,BC$49:BC$837)</f>
        <v>0</v>
      </c>
      <c r="BD25" s="104">
        <f>SUMIF($BS$49:$BS$837,$BS25,BD$49:BD$837)</f>
        <v>0</v>
      </c>
      <c r="BE25" s="194">
        <f t="shared" si="5"/>
        <v>0</v>
      </c>
      <c r="BF25" s="104">
        <f>SUMIF($BS$49:$BS$837,$BS25,BF$49:BF$837)</f>
        <v>0</v>
      </c>
      <c r="BG25" s="104">
        <f>SUMIF($BS$49:$BS$837,$BS25,BG$49:BG$837)</f>
        <v>0</v>
      </c>
      <c r="BH25" s="194">
        <f t="shared" si="6"/>
        <v>0</v>
      </c>
      <c r="BI25" s="104">
        <f>SUMIF($BS$49:$BS$837,$BS25,BI$49:BI$837)</f>
        <v>0</v>
      </c>
      <c r="BJ25" s="104">
        <f>SUMIF($BS$49:$BS$837,$BS25,BJ$49:BJ$837)</f>
        <v>0</v>
      </c>
      <c r="BK25" s="194">
        <f t="shared" si="7"/>
        <v>0</v>
      </c>
      <c r="BL25" s="104">
        <f>SUMIF($BS$49:$BS$837,$BS25,BL$49:BL$837)</f>
        <v>0</v>
      </c>
      <c r="BM25" s="104">
        <f>SUMIF($BS$49:$BS$837,$BS25,BM$49:BM$837)</f>
        <v>0</v>
      </c>
      <c r="BN25" s="103">
        <f t="shared" si="8"/>
        <v>0</v>
      </c>
      <c r="BO25" s="99"/>
      <c r="BS25" s="249" t="str">
        <f>AG25 &amp; "0"</f>
        <v>Лизинг0</v>
      </c>
    </row>
    <row r="26" spans="3:78">
      <c r="C26" s="45"/>
      <c r="D26" s="293"/>
      <c r="E26" s="107"/>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5"/>
      <c r="AF26" s="296" t="s">
        <v>238</v>
      </c>
      <c r="AG26" s="297" t="s">
        <v>239</v>
      </c>
      <c r="AH26" s="276"/>
      <c r="AI26" s="276"/>
      <c r="AJ26" s="276"/>
      <c r="AK26" s="276"/>
      <c r="AL26" s="276"/>
      <c r="AM26" s="276"/>
      <c r="AN26" s="276"/>
      <c r="AO26" s="276"/>
      <c r="AP26" s="276"/>
      <c r="AQ26" s="103">
        <f t="shared" si="0"/>
        <v>795031.90263576992</v>
      </c>
      <c r="AR26" s="103">
        <f t="shared" si="1"/>
        <v>0</v>
      </c>
      <c r="AS26" s="103">
        <f t="shared" si="2"/>
        <v>795031.90263576992</v>
      </c>
      <c r="AT26" s="104">
        <f>SUMIF($AG$49:$AG$837,$AG26,AT$49:AT$837)</f>
        <v>0</v>
      </c>
      <c r="AU26" s="104">
        <f>SUMIF($AG$49:$AG$837,$AG26,AU$49:AU$837)</f>
        <v>0</v>
      </c>
      <c r="AV26" s="104">
        <f t="shared" si="29"/>
        <v>0</v>
      </c>
      <c r="AW26" s="104">
        <f t="shared" si="29"/>
        <v>252279.19638045301</v>
      </c>
      <c r="AX26" s="104">
        <f t="shared" si="29"/>
        <v>0</v>
      </c>
      <c r="AY26" s="194">
        <f t="shared" si="3"/>
        <v>252279.19638045301</v>
      </c>
      <c r="AZ26" s="104">
        <f>SUMIF($BS$49:$BS$837,$BS26,AZ$49:AZ$837)</f>
        <v>265145.43539585598</v>
      </c>
      <c r="BA26" s="104">
        <f>SUMIF($BS$49:$BS$837,$BS26,BA$49:BA$837)</f>
        <v>0</v>
      </c>
      <c r="BB26" s="194">
        <f t="shared" si="4"/>
        <v>265145.43539585598</v>
      </c>
      <c r="BC26" s="104">
        <f>SUMIF($BS$49:$BS$837,$BS26,BC$49:BC$837)</f>
        <v>277607.27085946099</v>
      </c>
      <c r="BD26" s="104">
        <f>SUMIF($BS$49:$BS$837,$BS26,BD$49:BD$837)</f>
        <v>0</v>
      </c>
      <c r="BE26" s="194">
        <f t="shared" si="5"/>
        <v>277607.27085946099</v>
      </c>
      <c r="BF26" s="104">
        <f>SUMIF($BS$49:$BS$837,$BS26,BF$49:BF$837)</f>
        <v>0</v>
      </c>
      <c r="BG26" s="104">
        <f>SUMIF($BS$49:$BS$837,$BS26,BG$49:BG$837)</f>
        <v>0</v>
      </c>
      <c r="BH26" s="194">
        <f t="shared" si="6"/>
        <v>0</v>
      </c>
      <c r="BI26" s="104">
        <f>SUMIF($BS$49:$BS$837,$BS26,BI$49:BI$837)</f>
        <v>0</v>
      </c>
      <c r="BJ26" s="104">
        <f>SUMIF($BS$49:$BS$837,$BS26,BJ$49:BJ$837)</f>
        <v>0</v>
      </c>
      <c r="BK26" s="194">
        <f t="shared" si="7"/>
        <v>0</v>
      </c>
      <c r="BL26" s="104">
        <f>SUMIF($BS$49:$BS$837,$BS26,BL$49:BL$837)</f>
        <v>0</v>
      </c>
      <c r="BM26" s="104">
        <f>SUMIF($BS$49:$BS$837,$BS26,BM$49:BM$837)</f>
        <v>0</v>
      </c>
      <c r="BN26" s="103">
        <f t="shared" si="8"/>
        <v>0</v>
      </c>
      <c r="BO26" s="99"/>
      <c r="BS26" s="249" t="str">
        <f>AG26 &amp; "0"</f>
        <v>Прочие0</v>
      </c>
    </row>
    <row r="27" spans="3:78" ht="15" hidden="1" customHeight="1">
      <c r="C27" s="45"/>
      <c r="D27" s="55"/>
      <c r="E27" s="96"/>
      <c r="F27" s="9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278" t="s">
        <v>367</v>
      </c>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99"/>
    </row>
    <row r="28" spans="3:78" hidden="1">
      <c r="C28" s="45"/>
      <c r="D28" s="290"/>
      <c r="E28" s="48"/>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01"/>
      <c r="AF28" s="287"/>
      <c r="AG28" s="201" t="s">
        <v>141</v>
      </c>
      <c r="AH28" s="287"/>
      <c r="AI28" s="287"/>
      <c r="AJ28" s="287"/>
      <c r="AK28" s="287"/>
      <c r="AL28" s="287"/>
      <c r="AM28" s="287"/>
      <c r="AN28" s="287"/>
      <c r="AO28" s="287"/>
      <c r="AP28" s="287"/>
      <c r="AQ28" s="100">
        <f t="shared" ref="AQ28:AQ44" si="30">SUM(AT28,AW28,AZ28,BC28,BF28,BI28,BL28)</f>
        <v>0</v>
      </c>
      <c r="AR28" s="100">
        <f t="shared" ref="AR28:AR44" si="31">SUM(AT28,AX28,BA28,BD28,BG28,BJ28,BM28)</f>
        <v>0</v>
      </c>
      <c r="AS28" s="100">
        <f t="shared" ref="AS28:AS44" si="32">AQ28-AR28</f>
        <v>0</v>
      </c>
      <c r="AT28" s="101">
        <f>AT29+AT34+AT38+AT42</f>
        <v>0</v>
      </c>
      <c r="AU28" s="101">
        <f>AU29+AU34+AU38+AU42</f>
        <v>0</v>
      </c>
      <c r="AV28" s="101">
        <f>AV29+AV34+AV38+AV42</f>
        <v>0</v>
      </c>
      <c r="AW28" s="101">
        <f>AW29+AW34+AW38+AW42</f>
        <v>0</v>
      </c>
      <c r="AX28" s="101">
        <f>AX29+AX34+AX38+AX42</f>
        <v>0</v>
      </c>
      <c r="AY28" s="101">
        <f t="shared" ref="AY28:AY44" si="33">AW28-AX28</f>
        <v>0</v>
      </c>
      <c r="AZ28" s="101">
        <f>AZ29+AZ34+AZ38+AZ42</f>
        <v>0</v>
      </c>
      <c r="BA28" s="101">
        <f>BA29+BA34+BA38+BA42</f>
        <v>0</v>
      </c>
      <c r="BB28" s="101">
        <f t="shared" ref="BB28:BB44" si="34">AZ28-BA28</f>
        <v>0</v>
      </c>
      <c r="BC28" s="101">
        <f>BC29+BC34+BC38+BC42</f>
        <v>0</v>
      </c>
      <c r="BD28" s="101">
        <f>BD29+BD34+BD38+BD42</f>
        <v>0</v>
      </c>
      <c r="BE28" s="101">
        <f t="shared" ref="BE28:BE44" si="35">BC28-BD28</f>
        <v>0</v>
      </c>
      <c r="BF28" s="101">
        <f>BF29+BF34+BF38+BF42</f>
        <v>0</v>
      </c>
      <c r="BG28" s="101">
        <f>BG29+BG34+BG38+BG42</f>
        <v>0</v>
      </c>
      <c r="BH28" s="101">
        <f t="shared" ref="BH28:BH44" si="36">BF28-BG28</f>
        <v>0</v>
      </c>
      <c r="BI28" s="101">
        <f>BI29+BI34+BI38+BI42</f>
        <v>0</v>
      </c>
      <c r="BJ28" s="101">
        <f>BJ29+BJ34+BJ38+BJ42</f>
        <v>0</v>
      </c>
      <c r="BK28" s="101">
        <f t="shared" ref="BK28:BK44" si="37">BI28-BJ28</f>
        <v>0</v>
      </c>
      <c r="BL28" s="101">
        <f>BL29+BL34+BL38+BL42</f>
        <v>0</v>
      </c>
      <c r="BM28" s="101">
        <f>BM29+BM34+BM38+BM42</f>
        <v>0</v>
      </c>
      <c r="BN28" s="100">
        <f t="shared" ref="BN28:BN44" si="38">BL28-BM28</f>
        <v>0</v>
      </c>
      <c r="BO28" s="146"/>
      <c r="BP28" s="147"/>
    </row>
    <row r="29" spans="3:78" hidden="1">
      <c r="C29" s="45"/>
      <c r="D29" s="291"/>
      <c r="E29" s="10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01"/>
      <c r="AF29" s="292">
        <v>1</v>
      </c>
      <c r="AG29" s="201" t="s">
        <v>218</v>
      </c>
      <c r="AH29" s="287"/>
      <c r="AI29" s="287"/>
      <c r="AJ29" s="287"/>
      <c r="AK29" s="287"/>
      <c r="AL29" s="287"/>
      <c r="AM29" s="287"/>
      <c r="AN29" s="287"/>
      <c r="AO29" s="287"/>
      <c r="AP29" s="275"/>
      <c r="AQ29" s="100">
        <f t="shared" si="30"/>
        <v>0</v>
      </c>
      <c r="AR29" s="100">
        <f t="shared" si="31"/>
        <v>0</v>
      </c>
      <c r="AS29" s="100">
        <f t="shared" si="32"/>
        <v>0</v>
      </c>
      <c r="AT29" s="102">
        <f>AT30+AT31+AT32+AT33</f>
        <v>0</v>
      </c>
      <c r="AU29" s="102">
        <f>AU30+AU31+AU32+AU33</f>
        <v>0</v>
      </c>
      <c r="AV29" s="102">
        <f>AV30+AV31+AV32+AV33</f>
        <v>0</v>
      </c>
      <c r="AW29" s="102">
        <f>AW30+AW31+AW32+AW33</f>
        <v>0</v>
      </c>
      <c r="AX29" s="102">
        <f>AX30+AX31+AX32+AX33</f>
        <v>0</v>
      </c>
      <c r="AY29" s="101">
        <f t="shared" si="33"/>
        <v>0</v>
      </c>
      <c r="AZ29" s="102">
        <f>AZ30+AZ31+AZ32+AZ33</f>
        <v>0</v>
      </c>
      <c r="BA29" s="102">
        <f>BA30+BA31+BA32+BA33</f>
        <v>0</v>
      </c>
      <c r="BB29" s="101">
        <f t="shared" si="34"/>
        <v>0</v>
      </c>
      <c r="BC29" s="102">
        <f>BC30+BC31+BC32+BC33</f>
        <v>0</v>
      </c>
      <c r="BD29" s="102">
        <f>BD30+BD31+BD32+BD33</f>
        <v>0</v>
      </c>
      <c r="BE29" s="101">
        <f t="shared" si="35"/>
        <v>0</v>
      </c>
      <c r="BF29" s="102">
        <f>BF30+BF31+BF32+BF33</f>
        <v>0</v>
      </c>
      <c r="BG29" s="102">
        <f>BG30+BG31+BG32+BG33</f>
        <v>0</v>
      </c>
      <c r="BH29" s="101">
        <f t="shared" si="36"/>
        <v>0</v>
      </c>
      <c r="BI29" s="102">
        <f>BI30+BI31+BI32+BI33</f>
        <v>0</v>
      </c>
      <c r="BJ29" s="102">
        <f>BJ30+BJ31+BJ32+BJ33</f>
        <v>0</v>
      </c>
      <c r="BK29" s="101">
        <f t="shared" si="37"/>
        <v>0</v>
      </c>
      <c r="BL29" s="102">
        <f>BL30+BL31+BL32+BL33</f>
        <v>0</v>
      </c>
      <c r="BM29" s="102">
        <f>BM30+BM31+BM32+BM33</f>
        <v>0</v>
      </c>
      <c r="BN29" s="100">
        <f t="shared" si="38"/>
        <v>0</v>
      </c>
      <c r="BO29" s="99"/>
      <c r="BP29" s="48"/>
    </row>
    <row r="30" spans="3:78" ht="11.25" hidden="1" customHeight="1">
      <c r="C30" s="45"/>
      <c r="D30" s="293"/>
      <c r="E30" s="107"/>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5"/>
      <c r="AF30" s="296" t="s">
        <v>219</v>
      </c>
      <c r="AG30" s="297" t="s">
        <v>240</v>
      </c>
      <c r="AH30" s="276"/>
      <c r="AI30" s="276"/>
      <c r="AJ30" s="276"/>
      <c r="AK30" s="276"/>
      <c r="AL30" s="276"/>
      <c r="AM30" s="276"/>
      <c r="AN30" s="276"/>
      <c r="AO30" s="276"/>
      <c r="AP30" s="276"/>
      <c r="AQ30" s="103">
        <f t="shared" si="30"/>
        <v>0</v>
      </c>
      <c r="AR30" s="103">
        <f t="shared" si="31"/>
        <v>0</v>
      </c>
      <c r="AS30" s="103">
        <f t="shared" si="32"/>
        <v>0</v>
      </c>
      <c r="AT30" s="104">
        <f t="shared" ref="AT30:AX33" si="39">SUMIF($BY$49:$BY$837,$BY30,AT$49:AT$837)</f>
        <v>0</v>
      </c>
      <c r="AU30" s="104">
        <f t="shared" si="39"/>
        <v>0</v>
      </c>
      <c r="AV30" s="104">
        <f t="shared" si="39"/>
        <v>0</v>
      </c>
      <c r="AW30" s="104">
        <f t="shared" si="39"/>
        <v>0</v>
      </c>
      <c r="AX30" s="104">
        <f t="shared" si="39"/>
        <v>0</v>
      </c>
      <c r="AY30" s="194">
        <f t="shared" si="33"/>
        <v>0</v>
      </c>
      <c r="AZ30" s="104">
        <f t="shared" ref="AZ30:BA33" si="40">SUMIF($BY$49:$BY$837,$BY30,AZ$49:AZ$837)</f>
        <v>0</v>
      </c>
      <c r="BA30" s="104">
        <f t="shared" si="40"/>
        <v>0</v>
      </c>
      <c r="BB30" s="194">
        <f t="shared" si="34"/>
        <v>0</v>
      </c>
      <c r="BC30" s="104">
        <f t="shared" ref="BC30:BD33" si="41">SUMIF($BY$49:$BY$837,$BY30,BC$49:BC$837)</f>
        <v>0</v>
      </c>
      <c r="BD30" s="104">
        <f t="shared" si="41"/>
        <v>0</v>
      </c>
      <c r="BE30" s="194">
        <f t="shared" si="35"/>
        <v>0</v>
      </c>
      <c r="BF30" s="104">
        <f t="shared" ref="BF30:BG33" si="42">SUMIF($BY$49:$BY$837,$BY30,BF$49:BF$837)</f>
        <v>0</v>
      </c>
      <c r="BG30" s="104">
        <f t="shared" si="42"/>
        <v>0</v>
      </c>
      <c r="BH30" s="194">
        <f t="shared" si="36"/>
        <v>0</v>
      </c>
      <c r="BI30" s="104">
        <f t="shared" ref="BI30:BJ33" si="43">SUMIF($BY$49:$BY$837,$BY30,BI$49:BI$837)</f>
        <v>0</v>
      </c>
      <c r="BJ30" s="104">
        <f t="shared" si="43"/>
        <v>0</v>
      </c>
      <c r="BK30" s="194">
        <f t="shared" si="37"/>
        <v>0</v>
      </c>
      <c r="BL30" s="104">
        <f t="shared" ref="BL30:BM33" si="44">SUMIF($BY$49:$BY$837,$BY30,BL$49:BL$837)</f>
        <v>0</v>
      </c>
      <c r="BM30" s="104">
        <f t="shared" si="44"/>
        <v>0</v>
      </c>
      <c r="BN30" s="103">
        <f t="shared" si="38"/>
        <v>0</v>
      </c>
      <c r="BO30" s="99"/>
      <c r="BP30" s="48"/>
      <c r="BS30" s="249"/>
      <c r="BY30" s="249" t="str">
        <f t="shared" ref="BY30:BY44" si="45">AG30&amp;"да"</f>
        <v>Прибыль направляемая на инвестициида</v>
      </c>
      <c r="BZ30" s="250"/>
    </row>
    <row r="31" spans="3:78" hidden="1">
      <c r="C31" s="45"/>
      <c r="D31" s="293"/>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290"/>
      <c r="AF31" s="296" t="s">
        <v>220</v>
      </c>
      <c r="AG31" s="298" t="s">
        <v>221</v>
      </c>
      <c r="AH31" s="277"/>
      <c r="AI31" s="277"/>
      <c r="AJ31" s="277"/>
      <c r="AK31" s="277"/>
      <c r="AL31" s="277"/>
      <c r="AM31" s="277"/>
      <c r="AN31" s="277"/>
      <c r="AO31" s="277"/>
      <c r="AP31" s="277"/>
      <c r="AQ31" s="103">
        <f t="shared" si="30"/>
        <v>0</v>
      </c>
      <c r="AR31" s="103">
        <f t="shared" si="31"/>
        <v>0</v>
      </c>
      <c r="AS31" s="103">
        <f t="shared" si="32"/>
        <v>0</v>
      </c>
      <c r="AT31" s="104">
        <f t="shared" si="39"/>
        <v>0</v>
      </c>
      <c r="AU31" s="104">
        <f t="shared" si="39"/>
        <v>0</v>
      </c>
      <c r="AV31" s="104">
        <f t="shared" si="39"/>
        <v>0</v>
      </c>
      <c r="AW31" s="104">
        <f t="shared" si="39"/>
        <v>0</v>
      </c>
      <c r="AX31" s="104">
        <f t="shared" si="39"/>
        <v>0</v>
      </c>
      <c r="AY31" s="194">
        <f t="shared" si="33"/>
        <v>0</v>
      </c>
      <c r="AZ31" s="104">
        <f t="shared" si="40"/>
        <v>0</v>
      </c>
      <c r="BA31" s="104">
        <f t="shared" si="40"/>
        <v>0</v>
      </c>
      <c r="BB31" s="194">
        <f t="shared" si="34"/>
        <v>0</v>
      </c>
      <c r="BC31" s="104">
        <f t="shared" si="41"/>
        <v>0</v>
      </c>
      <c r="BD31" s="104">
        <f t="shared" si="41"/>
        <v>0</v>
      </c>
      <c r="BE31" s="194">
        <f t="shared" si="35"/>
        <v>0</v>
      </c>
      <c r="BF31" s="104">
        <f t="shared" si="42"/>
        <v>0</v>
      </c>
      <c r="BG31" s="104">
        <f t="shared" si="42"/>
        <v>0</v>
      </c>
      <c r="BH31" s="194">
        <f t="shared" si="36"/>
        <v>0</v>
      </c>
      <c r="BI31" s="104">
        <f t="shared" si="43"/>
        <v>0</v>
      </c>
      <c r="BJ31" s="104">
        <f t="shared" si="43"/>
        <v>0</v>
      </c>
      <c r="BK31" s="194">
        <f t="shared" si="37"/>
        <v>0</v>
      </c>
      <c r="BL31" s="104">
        <f t="shared" si="44"/>
        <v>0</v>
      </c>
      <c r="BM31" s="104">
        <f t="shared" si="44"/>
        <v>0</v>
      </c>
      <c r="BN31" s="103">
        <f t="shared" si="38"/>
        <v>0</v>
      </c>
      <c r="BO31" s="99"/>
      <c r="BP31" s="48"/>
      <c r="BS31" s="249"/>
      <c r="BY31" s="249" t="str">
        <f t="shared" si="45"/>
        <v>Амортизационные отчисленияда</v>
      </c>
      <c r="BZ31" s="250"/>
    </row>
    <row r="32" spans="3:78" hidden="1">
      <c r="C32" s="45"/>
      <c r="D32" s="293"/>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290"/>
      <c r="AF32" s="296" t="s">
        <v>222</v>
      </c>
      <c r="AG32" s="298" t="s">
        <v>223</v>
      </c>
      <c r="AH32" s="277"/>
      <c r="AI32" s="277"/>
      <c r="AJ32" s="277"/>
      <c r="AK32" s="277"/>
      <c r="AL32" s="277"/>
      <c r="AM32" s="277"/>
      <c r="AN32" s="277"/>
      <c r="AO32" s="277"/>
      <c r="AP32" s="277"/>
      <c r="AQ32" s="103">
        <f t="shared" si="30"/>
        <v>0</v>
      </c>
      <c r="AR32" s="103">
        <f t="shared" si="31"/>
        <v>0</v>
      </c>
      <c r="AS32" s="103">
        <f t="shared" si="32"/>
        <v>0</v>
      </c>
      <c r="AT32" s="104">
        <f t="shared" si="39"/>
        <v>0</v>
      </c>
      <c r="AU32" s="104">
        <f t="shared" si="39"/>
        <v>0</v>
      </c>
      <c r="AV32" s="104">
        <f t="shared" si="39"/>
        <v>0</v>
      </c>
      <c r="AW32" s="104">
        <f t="shared" si="39"/>
        <v>0</v>
      </c>
      <c r="AX32" s="104">
        <f t="shared" si="39"/>
        <v>0</v>
      </c>
      <c r="AY32" s="194">
        <f t="shared" si="33"/>
        <v>0</v>
      </c>
      <c r="AZ32" s="104">
        <f t="shared" si="40"/>
        <v>0</v>
      </c>
      <c r="BA32" s="104">
        <f t="shared" si="40"/>
        <v>0</v>
      </c>
      <c r="BB32" s="194">
        <f t="shared" si="34"/>
        <v>0</v>
      </c>
      <c r="BC32" s="104">
        <f t="shared" si="41"/>
        <v>0</v>
      </c>
      <c r="BD32" s="104">
        <f t="shared" si="41"/>
        <v>0</v>
      </c>
      <c r="BE32" s="194">
        <f t="shared" si="35"/>
        <v>0</v>
      </c>
      <c r="BF32" s="104">
        <f t="shared" si="42"/>
        <v>0</v>
      </c>
      <c r="BG32" s="104">
        <f t="shared" si="42"/>
        <v>0</v>
      </c>
      <c r="BH32" s="194">
        <f t="shared" si="36"/>
        <v>0</v>
      </c>
      <c r="BI32" s="104">
        <f t="shared" si="43"/>
        <v>0</v>
      </c>
      <c r="BJ32" s="104">
        <f t="shared" si="43"/>
        <v>0</v>
      </c>
      <c r="BK32" s="194">
        <f t="shared" si="37"/>
        <v>0</v>
      </c>
      <c r="BL32" s="104">
        <f t="shared" si="44"/>
        <v>0</v>
      </c>
      <c r="BM32" s="104">
        <f t="shared" si="44"/>
        <v>0</v>
      </c>
      <c r="BN32" s="103">
        <f t="shared" si="38"/>
        <v>0</v>
      </c>
      <c r="BO32" s="99"/>
      <c r="BP32" s="48"/>
      <c r="BS32" s="249"/>
      <c r="BY32" s="249" t="str">
        <f t="shared" si="45"/>
        <v>Прочие собственные средствада</v>
      </c>
      <c r="BZ32" s="250"/>
    </row>
    <row r="33" spans="3:78" ht="11.25" hidden="1" customHeight="1">
      <c r="C33" s="45"/>
      <c r="D33" s="293"/>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290"/>
      <c r="AF33" s="296" t="s">
        <v>318</v>
      </c>
      <c r="AG33" s="297" t="s">
        <v>327</v>
      </c>
      <c r="AH33" s="276"/>
      <c r="AI33" s="276"/>
      <c r="AJ33" s="276"/>
      <c r="AK33" s="276"/>
      <c r="AL33" s="276"/>
      <c r="AM33" s="276"/>
      <c r="AN33" s="276"/>
      <c r="AO33" s="276"/>
      <c r="AP33" s="277"/>
      <c r="AQ33" s="103">
        <f t="shared" si="30"/>
        <v>0</v>
      </c>
      <c r="AR33" s="103">
        <f t="shared" si="31"/>
        <v>0</v>
      </c>
      <c r="AS33" s="103">
        <f t="shared" si="32"/>
        <v>0</v>
      </c>
      <c r="AT33" s="104">
        <f t="shared" si="39"/>
        <v>0</v>
      </c>
      <c r="AU33" s="104">
        <f t="shared" si="39"/>
        <v>0</v>
      </c>
      <c r="AV33" s="104">
        <f t="shared" si="39"/>
        <v>0</v>
      </c>
      <c r="AW33" s="104">
        <f t="shared" si="39"/>
        <v>0</v>
      </c>
      <c r="AX33" s="104">
        <f t="shared" si="39"/>
        <v>0</v>
      </c>
      <c r="AY33" s="194">
        <f t="shared" si="33"/>
        <v>0</v>
      </c>
      <c r="AZ33" s="104">
        <f t="shared" si="40"/>
        <v>0</v>
      </c>
      <c r="BA33" s="104">
        <f t="shared" si="40"/>
        <v>0</v>
      </c>
      <c r="BB33" s="194">
        <f t="shared" si="34"/>
        <v>0</v>
      </c>
      <c r="BC33" s="104">
        <f t="shared" si="41"/>
        <v>0</v>
      </c>
      <c r="BD33" s="104">
        <f t="shared" si="41"/>
        <v>0</v>
      </c>
      <c r="BE33" s="194">
        <f t="shared" si="35"/>
        <v>0</v>
      </c>
      <c r="BF33" s="104">
        <f t="shared" si="42"/>
        <v>0</v>
      </c>
      <c r="BG33" s="104">
        <f t="shared" si="42"/>
        <v>0</v>
      </c>
      <c r="BH33" s="194">
        <f t="shared" si="36"/>
        <v>0</v>
      </c>
      <c r="BI33" s="104">
        <f t="shared" si="43"/>
        <v>0</v>
      </c>
      <c r="BJ33" s="104">
        <f t="shared" si="43"/>
        <v>0</v>
      </c>
      <c r="BK33" s="194">
        <f t="shared" si="37"/>
        <v>0</v>
      </c>
      <c r="BL33" s="104">
        <f t="shared" si="44"/>
        <v>0</v>
      </c>
      <c r="BM33" s="104">
        <f t="shared" si="44"/>
        <v>0</v>
      </c>
      <c r="BN33" s="103">
        <f t="shared" si="38"/>
        <v>0</v>
      </c>
      <c r="BO33" s="99"/>
      <c r="BP33" s="48"/>
      <c r="BS33" s="249"/>
      <c r="BY33" s="249" t="str">
        <f t="shared" si="45"/>
        <v>За счет платы за технологическое присоединениеда</v>
      </c>
      <c r="BZ33" s="250"/>
    </row>
    <row r="34" spans="3:78" hidden="1">
      <c r="C34" s="45"/>
      <c r="D34" s="291"/>
      <c r="E34" s="10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01"/>
      <c r="AF34" s="292" t="s">
        <v>118</v>
      </c>
      <c r="AG34" s="201" t="s">
        <v>224</v>
      </c>
      <c r="AH34" s="287"/>
      <c r="AI34" s="287"/>
      <c r="AJ34" s="287"/>
      <c r="AK34" s="287"/>
      <c r="AL34" s="287"/>
      <c r="AM34" s="287"/>
      <c r="AN34" s="287"/>
      <c r="AO34" s="287"/>
      <c r="AP34" s="107"/>
      <c r="AQ34" s="100">
        <f t="shared" si="30"/>
        <v>0</v>
      </c>
      <c r="AR34" s="100">
        <f t="shared" si="31"/>
        <v>0</v>
      </c>
      <c r="AS34" s="100">
        <f t="shared" si="32"/>
        <v>0</v>
      </c>
      <c r="AT34" s="102">
        <f>SUM(AT35:AT37)</f>
        <v>0</v>
      </c>
      <c r="AU34" s="102">
        <f>SUM(AU35:AU37)</f>
        <v>0</v>
      </c>
      <c r="AV34" s="102">
        <f>SUM(AV35:AV37)</f>
        <v>0</v>
      </c>
      <c r="AW34" s="102">
        <f>SUM(AW35:AW37)</f>
        <v>0</v>
      </c>
      <c r="AX34" s="102">
        <f>SUM(AX35:AX37)</f>
        <v>0</v>
      </c>
      <c r="AY34" s="101">
        <f t="shared" si="33"/>
        <v>0</v>
      </c>
      <c r="AZ34" s="102">
        <f>SUM(AZ35:AZ37)</f>
        <v>0</v>
      </c>
      <c r="BA34" s="102">
        <f>SUM(BA35:BA37)</f>
        <v>0</v>
      </c>
      <c r="BB34" s="101">
        <f t="shared" si="34"/>
        <v>0</v>
      </c>
      <c r="BC34" s="102">
        <f>SUM(BC35:BC37)</f>
        <v>0</v>
      </c>
      <c r="BD34" s="102">
        <f>SUM(BD35:BD37)</f>
        <v>0</v>
      </c>
      <c r="BE34" s="101">
        <f t="shared" si="35"/>
        <v>0</v>
      </c>
      <c r="BF34" s="102">
        <f>SUM(BF35:BF37)</f>
        <v>0</v>
      </c>
      <c r="BG34" s="102">
        <f>SUM(BG35:BG37)</f>
        <v>0</v>
      </c>
      <c r="BH34" s="101">
        <f t="shared" si="36"/>
        <v>0</v>
      </c>
      <c r="BI34" s="102">
        <f>SUM(BI35:BI37)</f>
        <v>0</v>
      </c>
      <c r="BJ34" s="102">
        <f>SUM(BJ35:BJ37)</f>
        <v>0</v>
      </c>
      <c r="BK34" s="101">
        <f t="shared" si="37"/>
        <v>0</v>
      </c>
      <c r="BL34" s="102">
        <f>SUM(BL35:BL37)</f>
        <v>0</v>
      </c>
      <c r="BM34" s="102">
        <f>SUM(BM35:BM37)</f>
        <v>0</v>
      </c>
      <c r="BN34" s="100">
        <f t="shared" si="38"/>
        <v>0</v>
      </c>
      <c r="BO34" s="99"/>
      <c r="BP34" s="48"/>
      <c r="BS34" s="250"/>
      <c r="BY34" s="249"/>
      <c r="BZ34" s="250"/>
    </row>
    <row r="35" spans="3:78" hidden="1">
      <c r="C35" s="45"/>
      <c r="D35" s="293"/>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290"/>
      <c r="AF35" s="296" t="s">
        <v>225</v>
      </c>
      <c r="AG35" s="298" t="s">
        <v>226</v>
      </c>
      <c r="AH35" s="277"/>
      <c r="AI35" s="277"/>
      <c r="AJ35" s="277"/>
      <c r="AK35" s="277"/>
      <c r="AL35" s="277"/>
      <c r="AM35" s="277"/>
      <c r="AN35" s="277"/>
      <c r="AO35" s="277"/>
      <c r="AP35" s="277"/>
      <c r="AQ35" s="103">
        <f t="shared" si="30"/>
        <v>0</v>
      </c>
      <c r="AR35" s="103">
        <f t="shared" si="31"/>
        <v>0</v>
      </c>
      <c r="AS35" s="103">
        <f t="shared" si="32"/>
        <v>0</v>
      </c>
      <c r="AT35" s="104">
        <f t="shared" ref="AT35:AX37" si="46">SUMIF($BY$49:$BY$837,$BY35,AT$49:AT$837)</f>
        <v>0</v>
      </c>
      <c r="AU35" s="104">
        <f t="shared" si="46"/>
        <v>0</v>
      </c>
      <c r="AV35" s="104">
        <f t="shared" si="46"/>
        <v>0</v>
      </c>
      <c r="AW35" s="104">
        <f t="shared" si="46"/>
        <v>0</v>
      </c>
      <c r="AX35" s="104">
        <f t="shared" si="46"/>
        <v>0</v>
      </c>
      <c r="AY35" s="194">
        <f t="shared" si="33"/>
        <v>0</v>
      </c>
      <c r="AZ35" s="104">
        <f t="shared" ref="AZ35:BA37" si="47">SUMIF($BY$49:$BY$837,$BY35,AZ$49:AZ$837)</f>
        <v>0</v>
      </c>
      <c r="BA35" s="104">
        <f t="shared" si="47"/>
        <v>0</v>
      </c>
      <c r="BB35" s="194">
        <f t="shared" si="34"/>
        <v>0</v>
      </c>
      <c r="BC35" s="104">
        <f t="shared" ref="BC35:BD37" si="48">SUMIF($BY$49:$BY$837,$BY35,BC$49:BC$837)</f>
        <v>0</v>
      </c>
      <c r="BD35" s="104">
        <f t="shared" si="48"/>
        <v>0</v>
      </c>
      <c r="BE35" s="194">
        <f t="shared" si="35"/>
        <v>0</v>
      </c>
      <c r="BF35" s="104">
        <f t="shared" ref="BF35:BG37" si="49">SUMIF($BY$49:$BY$837,$BY35,BF$49:BF$837)</f>
        <v>0</v>
      </c>
      <c r="BG35" s="104">
        <f t="shared" si="49"/>
        <v>0</v>
      </c>
      <c r="BH35" s="194">
        <f t="shared" si="36"/>
        <v>0</v>
      </c>
      <c r="BI35" s="104">
        <f t="shared" ref="BI35:BJ37" si="50">SUMIF($BY$49:$BY$837,$BY35,BI$49:BI$837)</f>
        <v>0</v>
      </c>
      <c r="BJ35" s="104">
        <f t="shared" si="50"/>
        <v>0</v>
      </c>
      <c r="BK35" s="194">
        <f t="shared" si="37"/>
        <v>0</v>
      </c>
      <c r="BL35" s="104">
        <f t="shared" ref="BL35:BM37" si="51">SUMIF($BY$49:$BY$837,$BY35,BL$49:BL$837)</f>
        <v>0</v>
      </c>
      <c r="BM35" s="104">
        <f t="shared" si="51"/>
        <v>0</v>
      </c>
      <c r="BN35" s="103">
        <f t="shared" si="38"/>
        <v>0</v>
      </c>
      <c r="BO35" s="99"/>
      <c r="BP35" s="48"/>
      <c r="BS35" s="249"/>
      <c r="BY35" s="249" t="str">
        <f t="shared" si="45"/>
        <v>Кредитыда</v>
      </c>
      <c r="BZ35" s="250"/>
    </row>
    <row r="36" spans="3:78" hidden="1">
      <c r="C36" s="45"/>
      <c r="D36" s="293"/>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290"/>
      <c r="AF36" s="296" t="s">
        <v>227</v>
      </c>
      <c r="AG36" s="298" t="s">
        <v>228</v>
      </c>
      <c r="AH36" s="277"/>
      <c r="AI36" s="277"/>
      <c r="AJ36" s="277"/>
      <c r="AK36" s="277"/>
      <c r="AL36" s="277"/>
      <c r="AM36" s="277"/>
      <c r="AN36" s="277"/>
      <c r="AO36" s="277"/>
      <c r="AP36" s="275"/>
      <c r="AQ36" s="103">
        <f t="shared" si="30"/>
        <v>0</v>
      </c>
      <c r="AR36" s="103">
        <f t="shared" si="31"/>
        <v>0</v>
      </c>
      <c r="AS36" s="103">
        <f t="shared" si="32"/>
        <v>0</v>
      </c>
      <c r="AT36" s="104">
        <f t="shared" si="46"/>
        <v>0</v>
      </c>
      <c r="AU36" s="104">
        <f t="shared" si="46"/>
        <v>0</v>
      </c>
      <c r="AV36" s="104">
        <f t="shared" si="46"/>
        <v>0</v>
      </c>
      <c r="AW36" s="104">
        <f t="shared" si="46"/>
        <v>0</v>
      </c>
      <c r="AX36" s="104">
        <f t="shared" si="46"/>
        <v>0</v>
      </c>
      <c r="AY36" s="194">
        <f t="shared" si="33"/>
        <v>0</v>
      </c>
      <c r="AZ36" s="104">
        <f t="shared" si="47"/>
        <v>0</v>
      </c>
      <c r="BA36" s="104">
        <f t="shared" si="47"/>
        <v>0</v>
      </c>
      <c r="BB36" s="194">
        <f t="shared" si="34"/>
        <v>0</v>
      </c>
      <c r="BC36" s="104">
        <f t="shared" si="48"/>
        <v>0</v>
      </c>
      <c r="BD36" s="104">
        <f t="shared" si="48"/>
        <v>0</v>
      </c>
      <c r="BE36" s="194">
        <f t="shared" si="35"/>
        <v>0</v>
      </c>
      <c r="BF36" s="104">
        <f t="shared" si="49"/>
        <v>0</v>
      </c>
      <c r="BG36" s="104">
        <f t="shared" si="49"/>
        <v>0</v>
      </c>
      <c r="BH36" s="194">
        <f t="shared" si="36"/>
        <v>0</v>
      </c>
      <c r="BI36" s="104">
        <f t="shared" si="50"/>
        <v>0</v>
      </c>
      <c r="BJ36" s="104">
        <f t="shared" si="50"/>
        <v>0</v>
      </c>
      <c r="BK36" s="194">
        <f t="shared" si="37"/>
        <v>0</v>
      </c>
      <c r="BL36" s="104">
        <f t="shared" si="51"/>
        <v>0</v>
      </c>
      <c r="BM36" s="104">
        <f t="shared" si="51"/>
        <v>0</v>
      </c>
      <c r="BN36" s="103">
        <f t="shared" si="38"/>
        <v>0</v>
      </c>
      <c r="BO36" s="99"/>
      <c r="BP36" s="48"/>
      <c r="BS36" s="249"/>
      <c r="BY36" s="249" t="str">
        <f t="shared" si="45"/>
        <v>Займыда</v>
      </c>
      <c r="BZ36" s="250"/>
    </row>
    <row r="37" spans="3:78" ht="11.25" hidden="1" customHeight="1">
      <c r="C37" s="45"/>
      <c r="D37" s="293"/>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290"/>
      <c r="AF37" s="296" t="s">
        <v>229</v>
      </c>
      <c r="AG37" s="298" t="s">
        <v>230</v>
      </c>
      <c r="AH37" s="277"/>
      <c r="AI37" s="277"/>
      <c r="AJ37" s="277"/>
      <c r="AK37" s="277"/>
      <c r="AL37" s="277"/>
      <c r="AM37" s="277"/>
      <c r="AN37" s="277"/>
      <c r="AO37" s="277"/>
      <c r="AP37" s="277"/>
      <c r="AQ37" s="103">
        <f t="shared" si="30"/>
        <v>0</v>
      </c>
      <c r="AR37" s="103">
        <f t="shared" si="31"/>
        <v>0</v>
      </c>
      <c r="AS37" s="103">
        <f t="shared" si="32"/>
        <v>0</v>
      </c>
      <c r="AT37" s="104">
        <f t="shared" si="46"/>
        <v>0</v>
      </c>
      <c r="AU37" s="104">
        <f t="shared" si="46"/>
        <v>0</v>
      </c>
      <c r="AV37" s="104">
        <f t="shared" si="46"/>
        <v>0</v>
      </c>
      <c r="AW37" s="104">
        <f t="shared" si="46"/>
        <v>0</v>
      </c>
      <c r="AX37" s="104">
        <f t="shared" si="46"/>
        <v>0</v>
      </c>
      <c r="AY37" s="194">
        <f t="shared" si="33"/>
        <v>0</v>
      </c>
      <c r="AZ37" s="104">
        <f t="shared" si="47"/>
        <v>0</v>
      </c>
      <c r="BA37" s="104">
        <f t="shared" si="47"/>
        <v>0</v>
      </c>
      <c r="BB37" s="194">
        <f t="shared" si="34"/>
        <v>0</v>
      </c>
      <c r="BC37" s="104">
        <f t="shared" si="48"/>
        <v>0</v>
      </c>
      <c r="BD37" s="104">
        <f t="shared" si="48"/>
        <v>0</v>
      </c>
      <c r="BE37" s="194">
        <f t="shared" si="35"/>
        <v>0</v>
      </c>
      <c r="BF37" s="104">
        <f t="shared" si="49"/>
        <v>0</v>
      </c>
      <c r="BG37" s="104">
        <f t="shared" si="49"/>
        <v>0</v>
      </c>
      <c r="BH37" s="194">
        <f t="shared" si="36"/>
        <v>0</v>
      </c>
      <c r="BI37" s="104">
        <f t="shared" si="50"/>
        <v>0</v>
      </c>
      <c r="BJ37" s="104">
        <f t="shared" si="50"/>
        <v>0</v>
      </c>
      <c r="BK37" s="194">
        <f t="shared" si="37"/>
        <v>0</v>
      </c>
      <c r="BL37" s="104">
        <f t="shared" si="51"/>
        <v>0</v>
      </c>
      <c r="BM37" s="104">
        <f t="shared" si="51"/>
        <v>0</v>
      </c>
      <c r="BN37" s="103">
        <f t="shared" si="38"/>
        <v>0</v>
      </c>
      <c r="BO37" s="99"/>
      <c r="BS37" s="249"/>
      <c r="BY37" s="249" t="str">
        <f t="shared" si="45"/>
        <v>Прочие привлеченные средствада</v>
      </c>
      <c r="BZ37" s="250"/>
    </row>
    <row r="38" spans="3:78" hidden="1">
      <c r="C38" s="45"/>
      <c r="D38" s="291"/>
      <c r="E38" s="10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01"/>
      <c r="AF38" s="292" t="s">
        <v>119</v>
      </c>
      <c r="AG38" s="201" t="s">
        <v>231</v>
      </c>
      <c r="AH38" s="287"/>
      <c r="AI38" s="287"/>
      <c r="AJ38" s="287"/>
      <c r="AK38" s="287"/>
      <c r="AL38" s="287"/>
      <c r="AM38" s="287"/>
      <c r="AN38" s="287"/>
      <c r="AO38" s="287"/>
      <c r="AP38" s="275"/>
      <c r="AQ38" s="100">
        <f t="shared" si="30"/>
        <v>0</v>
      </c>
      <c r="AR38" s="100">
        <f t="shared" si="31"/>
        <v>0</v>
      </c>
      <c r="AS38" s="100">
        <f t="shared" si="32"/>
        <v>0</v>
      </c>
      <c r="AT38" s="102">
        <f>SUM(AT39:AT41)</f>
        <v>0</v>
      </c>
      <c r="AU38" s="102">
        <f>SUM(AU39:AU41)</f>
        <v>0</v>
      </c>
      <c r="AV38" s="102">
        <f>SUM(AV39:AV41)</f>
        <v>0</v>
      </c>
      <c r="AW38" s="102">
        <f>SUM(AW39:AW41)</f>
        <v>0</v>
      </c>
      <c r="AX38" s="102">
        <f>SUM(AX39:AX41)</f>
        <v>0</v>
      </c>
      <c r="AY38" s="101">
        <f t="shared" si="33"/>
        <v>0</v>
      </c>
      <c r="AZ38" s="102">
        <f>SUM(AZ39:AZ41)</f>
        <v>0</v>
      </c>
      <c r="BA38" s="102">
        <f>SUM(BA39:BA41)</f>
        <v>0</v>
      </c>
      <c r="BB38" s="101">
        <f t="shared" si="34"/>
        <v>0</v>
      </c>
      <c r="BC38" s="102">
        <f>SUM(BC39:BC41)</f>
        <v>0</v>
      </c>
      <c r="BD38" s="102">
        <f>SUM(BD39:BD41)</f>
        <v>0</v>
      </c>
      <c r="BE38" s="101">
        <f t="shared" si="35"/>
        <v>0</v>
      </c>
      <c r="BF38" s="102">
        <f>SUM(BF39:BF41)</f>
        <v>0</v>
      </c>
      <c r="BG38" s="102">
        <f>SUM(BG39:BG41)</f>
        <v>0</v>
      </c>
      <c r="BH38" s="101">
        <f t="shared" si="36"/>
        <v>0</v>
      </c>
      <c r="BI38" s="102">
        <f>SUM(BI39:BI41)</f>
        <v>0</v>
      </c>
      <c r="BJ38" s="102">
        <f>SUM(BJ39:BJ41)</f>
        <v>0</v>
      </c>
      <c r="BK38" s="101">
        <f t="shared" si="37"/>
        <v>0</v>
      </c>
      <c r="BL38" s="102">
        <f>SUM(BL39:BL41)</f>
        <v>0</v>
      </c>
      <c r="BM38" s="102">
        <f>SUM(BM39:BM41)</f>
        <v>0</v>
      </c>
      <c r="BN38" s="100">
        <f t="shared" si="38"/>
        <v>0</v>
      </c>
      <c r="BO38" s="99"/>
      <c r="BS38" s="250"/>
      <c r="BY38" s="249"/>
      <c r="BZ38" s="250"/>
    </row>
    <row r="39" spans="3:78" hidden="1">
      <c r="C39" s="45"/>
      <c r="D39" s="293"/>
      <c r="E39" s="107"/>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5"/>
      <c r="AF39" s="296" t="s">
        <v>152</v>
      </c>
      <c r="AG39" s="297" t="s">
        <v>232</v>
      </c>
      <c r="AH39" s="276"/>
      <c r="AI39" s="276"/>
      <c r="AJ39" s="276"/>
      <c r="AK39" s="276"/>
      <c r="AL39" s="276"/>
      <c r="AM39" s="276"/>
      <c r="AN39" s="276"/>
      <c r="AO39" s="276"/>
      <c r="AP39" s="276"/>
      <c r="AQ39" s="103">
        <f t="shared" si="30"/>
        <v>0</v>
      </c>
      <c r="AR39" s="103">
        <f t="shared" si="31"/>
        <v>0</v>
      </c>
      <c r="AS39" s="103">
        <f t="shared" si="32"/>
        <v>0</v>
      </c>
      <c r="AT39" s="104">
        <f t="shared" ref="AT39:AX41" si="52">SUMIF($BY$49:$BY$837,$BY39,AT$49:AT$837)</f>
        <v>0</v>
      </c>
      <c r="AU39" s="104">
        <f t="shared" si="52"/>
        <v>0</v>
      </c>
      <c r="AV39" s="104">
        <f t="shared" si="52"/>
        <v>0</v>
      </c>
      <c r="AW39" s="104">
        <f t="shared" si="52"/>
        <v>0</v>
      </c>
      <c r="AX39" s="104">
        <f t="shared" si="52"/>
        <v>0</v>
      </c>
      <c r="AY39" s="194">
        <f t="shared" si="33"/>
        <v>0</v>
      </c>
      <c r="AZ39" s="104">
        <f t="shared" ref="AZ39:BA41" si="53">SUMIF($BY$49:$BY$837,$BY39,AZ$49:AZ$837)</f>
        <v>0</v>
      </c>
      <c r="BA39" s="104">
        <f t="shared" si="53"/>
        <v>0</v>
      </c>
      <c r="BB39" s="194">
        <f t="shared" si="34"/>
        <v>0</v>
      </c>
      <c r="BC39" s="104">
        <f t="shared" ref="BC39:BD41" si="54">SUMIF($BY$49:$BY$837,$BY39,BC$49:BC$837)</f>
        <v>0</v>
      </c>
      <c r="BD39" s="104">
        <f t="shared" si="54"/>
        <v>0</v>
      </c>
      <c r="BE39" s="194">
        <f t="shared" si="35"/>
        <v>0</v>
      </c>
      <c r="BF39" s="104">
        <f t="shared" ref="BF39:BG41" si="55">SUMIF($BY$49:$BY$837,$BY39,BF$49:BF$837)</f>
        <v>0</v>
      </c>
      <c r="BG39" s="104">
        <f t="shared" si="55"/>
        <v>0</v>
      </c>
      <c r="BH39" s="194">
        <f t="shared" si="36"/>
        <v>0</v>
      </c>
      <c r="BI39" s="104">
        <f t="shared" ref="BI39:BJ41" si="56">SUMIF($BY$49:$BY$837,$BY39,BI$49:BI$837)</f>
        <v>0</v>
      </c>
      <c r="BJ39" s="104">
        <f t="shared" si="56"/>
        <v>0</v>
      </c>
      <c r="BK39" s="194">
        <f t="shared" si="37"/>
        <v>0</v>
      </c>
      <c r="BL39" s="104">
        <f t="shared" ref="BL39:BM41" si="57">SUMIF($BY$49:$BY$837,$BY39,BL$49:BL$837)</f>
        <v>0</v>
      </c>
      <c r="BM39" s="104">
        <f t="shared" si="57"/>
        <v>0</v>
      </c>
      <c r="BN39" s="103">
        <f t="shared" si="38"/>
        <v>0</v>
      </c>
      <c r="BO39" s="99"/>
      <c r="BS39" s="249"/>
      <c r="BY39" s="249" t="str">
        <f t="shared" si="45"/>
        <v>Федеральный бюджетда</v>
      </c>
      <c r="BZ39" s="250"/>
    </row>
    <row r="40" spans="3:78" hidden="1">
      <c r="C40" s="45"/>
      <c r="D40" s="293"/>
      <c r="E40" s="107"/>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5"/>
      <c r="AF40" s="296" t="s">
        <v>153</v>
      </c>
      <c r="AG40" s="297" t="s">
        <v>233</v>
      </c>
      <c r="AH40" s="276"/>
      <c r="AI40" s="276"/>
      <c r="AJ40" s="276"/>
      <c r="AK40" s="276"/>
      <c r="AL40" s="276"/>
      <c r="AM40" s="276"/>
      <c r="AN40" s="276"/>
      <c r="AO40" s="276"/>
      <c r="AP40" s="276"/>
      <c r="AQ40" s="103">
        <f t="shared" si="30"/>
        <v>0</v>
      </c>
      <c r="AR40" s="103">
        <f t="shared" si="31"/>
        <v>0</v>
      </c>
      <c r="AS40" s="103">
        <f t="shared" si="32"/>
        <v>0</v>
      </c>
      <c r="AT40" s="104">
        <f t="shared" si="52"/>
        <v>0</v>
      </c>
      <c r="AU40" s="104">
        <f t="shared" si="52"/>
        <v>0</v>
      </c>
      <c r="AV40" s="104">
        <f t="shared" si="52"/>
        <v>0</v>
      </c>
      <c r="AW40" s="104">
        <f t="shared" si="52"/>
        <v>0</v>
      </c>
      <c r="AX40" s="104">
        <f t="shared" si="52"/>
        <v>0</v>
      </c>
      <c r="AY40" s="194">
        <f t="shared" si="33"/>
        <v>0</v>
      </c>
      <c r="AZ40" s="104">
        <f t="shared" si="53"/>
        <v>0</v>
      </c>
      <c r="BA40" s="104">
        <f t="shared" si="53"/>
        <v>0</v>
      </c>
      <c r="BB40" s="194">
        <f t="shared" si="34"/>
        <v>0</v>
      </c>
      <c r="BC40" s="104">
        <f t="shared" si="54"/>
        <v>0</v>
      </c>
      <c r="BD40" s="104">
        <f t="shared" si="54"/>
        <v>0</v>
      </c>
      <c r="BE40" s="194">
        <f t="shared" si="35"/>
        <v>0</v>
      </c>
      <c r="BF40" s="104">
        <f t="shared" si="55"/>
        <v>0</v>
      </c>
      <c r="BG40" s="104">
        <f t="shared" si="55"/>
        <v>0</v>
      </c>
      <c r="BH40" s="194">
        <f t="shared" si="36"/>
        <v>0</v>
      </c>
      <c r="BI40" s="104">
        <f t="shared" si="56"/>
        <v>0</v>
      </c>
      <c r="BJ40" s="104">
        <f t="shared" si="56"/>
        <v>0</v>
      </c>
      <c r="BK40" s="194">
        <f t="shared" si="37"/>
        <v>0</v>
      </c>
      <c r="BL40" s="104">
        <f t="shared" si="57"/>
        <v>0</v>
      </c>
      <c r="BM40" s="104">
        <f t="shared" si="57"/>
        <v>0</v>
      </c>
      <c r="BN40" s="103">
        <f t="shared" si="38"/>
        <v>0</v>
      </c>
      <c r="BO40" s="99"/>
      <c r="BS40" s="249"/>
      <c r="BY40" s="249" t="str">
        <f t="shared" si="45"/>
        <v>Бюджет субъекта РФда</v>
      </c>
      <c r="BZ40" s="250"/>
    </row>
    <row r="41" spans="3:78" ht="11.25" hidden="1" customHeight="1">
      <c r="C41" s="45"/>
      <c r="D41" s="293"/>
      <c r="E41" s="107"/>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5"/>
      <c r="AF41" s="296" t="s">
        <v>25</v>
      </c>
      <c r="AG41" s="297" t="s">
        <v>234</v>
      </c>
      <c r="AH41" s="276"/>
      <c r="AI41" s="276"/>
      <c r="AJ41" s="276"/>
      <c r="AK41" s="276"/>
      <c r="AL41" s="276"/>
      <c r="AM41" s="276"/>
      <c r="AN41" s="276"/>
      <c r="AO41" s="276"/>
      <c r="AP41" s="276"/>
      <c r="AQ41" s="103">
        <f t="shared" si="30"/>
        <v>0</v>
      </c>
      <c r="AR41" s="103">
        <f t="shared" si="31"/>
        <v>0</v>
      </c>
      <c r="AS41" s="103">
        <f t="shared" si="32"/>
        <v>0</v>
      </c>
      <c r="AT41" s="104">
        <f t="shared" si="52"/>
        <v>0</v>
      </c>
      <c r="AU41" s="104">
        <f t="shared" si="52"/>
        <v>0</v>
      </c>
      <c r="AV41" s="104">
        <f t="shared" si="52"/>
        <v>0</v>
      </c>
      <c r="AW41" s="104">
        <f t="shared" si="52"/>
        <v>0</v>
      </c>
      <c r="AX41" s="104">
        <f t="shared" si="52"/>
        <v>0</v>
      </c>
      <c r="AY41" s="194">
        <f t="shared" si="33"/>
        <v>0</v>
      </c>
      <c r="AZ41" s="104">
        <f t="shared" si="53"/>
        <v>0</v>
      </c>
      <c r="BA41" s="104">
        <f t="shared" si="53"/>
        <v>0</v>
      </c>
      <c r="BB41" s="194">
        <f t="shared" si="34"/>
        <v>0</v>
      </c>
      <c r="BC41" s="104">
        <f t="shared" si="54"/>
        <v>0</v>
      </c>
      <c r="BD41" s="104">
        <f t="shared" si="54"/>
        <v>0</v>
      </c>
      <c r="BE41" s="194">
        <f t="shared" si="35"/>
        <v>0</v>
      </c>
      <c r="BF41" s="104">
        <f t="shared" si="55"/>
        <v>0</v>
      </c>
      <c r="BG41" s="104">
        <f t="shared" si="55"/>
        <v>0</v>
      </c>
      <c r="BH41" s="194">
        <f t="shared" si="36"/>
        <v>0</v>
      </c>
      <c r="BI41" s="104">
        <f t="shared" si="56"/>
        <v>0</v>
      </c>
      <c r="BJ41" s="104">
        <f t="shared" si="56"/>
        <v>0</v>
      </c>
      <c r="BK41" s="194">
        <f t="shared" si="37"/>
        <v>0</v>
      </c>
      <c r="BL41" s="104">
        <f t="shared" si="57"/>
        <v>0</v>
      </c>
      <c r="BM41" s="104">
        <f t="shared" si="57"/>
        <v>0</v>
      </c>
      <c r="BN41" s="103">
        <f t="shared" si="38"/>
        <v>0</v>
      </c>
      <c r="BO41" s="99"/>
      <c r="BS41" s="249"/>
      <c r="BY41" s="249" t="str">
        <f t="shared" si="45"/>
        <v>Бюджет муниципального образованияда</v>
      </c>
      <c r="BZ41" s="250"/>
    </row>
    <row r="42" spans="3:78" ht="11.25" hidden="1" customHeight="1">
      <c r="C42" s="45"/>
      <c r="D42" s="291"/>
      <c r="E42" s="10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01"/>
      <c r="AF42" s="292" t="s">
        <v>120</v>
      </c>
      <c r="AG42" s="201" t="s">
        <v>235</v>
      </c>
      <c r="AH42" s="287"/>
      <c r="AI42" s="287"/>
      <c r="AJ42" s="287"/>
      <c r="AK42" s="287"/>
      <c r="AL42" s="287"/>
      <c r="AM42" s="287"/>
      <c r="AN42" s="287"/>
      <c r="AO42" s="287"/>
      <c r="AP42" s="275"/>
      <c r="AQ42" s="100">
        <f t="shared" si="30"/>
        <v>0</v>
      </c>
      <c r="AR42" s="100">
        <f t="shared" si="31"/>
        <v>0</v>
      </c>
      <c r="AS42" s="100">
        <f t="shared" si="32"/>
        <v>0</v>
      </c>
      <c r="AT42" s="102">
        <f>SUM(AT43:AT44)</f>
        <v>0</v>
      </c>
      <c r="AU42" s="102">
        <f>SUM(AU43:AU44)</f>
        <v>0</v>
      </c>
      <c r="AV42" s="102">
        <f>SUM(AV43:AV44)</f>
        <v>0</v>
      </c>
      <c r="AW42" s="102">
        <f>SUM(AW43:AW44)</f>
        <v>0</v>
      </c>
      <c r="AX42" s="102">
        <f>SUM(AX43:AX44)</f>
        <v>0</v>
      </c>
      <c r="AY42" s="101">
        <f t="shared" si="33"/>
        <v>0</v>
      </c>
      <c r="AZ42" s="102">
        <f>SUM(AZ43:AZ44)</f>
        <v>0</v>
      </c>
      <c r="BA42" s="102">
        <f>SUM(BA43:BA44)</f>
        <v>0</v>
      </c>
      <c r="BB42" s="101">
        <f t="shared" si="34"/>
        <v>0</v>
      </c>
      <c r="BC42" s="102">
        <f>SUM(BC43:BC44)</f>
        <v>0</v>
      </c>
      <c r="BD42" s="102">
        <f>SUM(BD43:BD44)</f>
        <v>0</v>
      </c>
      <c r="BE42" s="101">
        <f t="shared" si="35"/>
        <v>0</v>
      </c>
      <c r="BF42" s="102">
        <f>SUM(BF43:BF44)</f>
        <v>0</v>
      </c>
      <c r="BG42" s="102">
        <f>SUM(BG43:BG44)</f>
        <v>0</v>
      </c>
      <c r="BH42" s="101">
        <f t="shared" si="36"/>
        <v>0</v>
      </c>
      <c r="BI42" s="102">
        <f>SUM(BI43:BI44)</f>
        <v>0</v>
      </c>
      <c r="BJ42" s="102">
        <f>SUM(BJ43:BJ44)</f>
        <v>0</v>
      </c>
      <c r="BK42" s="101">
        <f t="shared" si="37"/>
        <v>0</v>
      </c>
      <c r="BL42" s="102">
        <f>SUM(BL43:BL44)</f>
        <v>0</v>
      </c>
      <c r="BM42" s="102">
        <f>SUM(BM43:BM44)</f>
        <v>0</v>
      </c>
      <c r="BN42" s="100">
        <f t="shared" si="38"/>
        <v>0</v>
      </c>
      <c r="BO42" s="99"/>
      <c r="BS42" s="250"/>
      <c r="BY42" s="249"/>
      <c r="BZ42" s="250"/>
    </row>
    <row r="43" spans="3:78" hidden="1">
      <c r="C43" s="45"/>
      <c r="D43" s="293"/>
      <c r="E43" s="107"/>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5"/>
      <c r="AF43" s="296" t="s">
        <v>236</v>
      </c>
      <c r="AG43" s="297" t="s">
        <v>237</v>
      </c>
      <c r="AH43" s="276"/>
      <c r="AI43" s="276"/>
      <c r="AJ43" s="276"/>
      <c r="AK43" s="276"/>
      <c r="AL43" s="276"/>
      <c r="AM43" s="276"/>
      <c r="AN43" s="276"/>
      <c r="AO43" s="276"/>
      <c r="AP43" s="276"/>
      <c r="AQ43" s="103">
        <f t="shared" si="30"/>
        <v>0</v>
      </c>
      <c r="AR43" s="103">
        <f t="shared" si="31"/>
        <v>0</v>
      </c>
      <c r="AS43" s="103">
        <f t="shared" si="32"/>
        <v>0</v>
      </c>
      <c r="AT43" s="104">
        <f t="shared" ref="AT43:AX44" si="58">SUMIF($BY$49:$BY$837,$BY43,AT$49:AT$837)</f>
        <v>0</v>
      </c>
      <c r="AU43" s="104">
        <f t="shared" si="58"/>
        <v>0</v>
      </c>
      <c r="AV43" s="104">
        <f t="shared" si="58"/>
        <v>0</v>
      </c>
      <c r="AW43" s="104">
        <f t="shared" si="58"/>
        <v>0</v>
      </c>
      <c r="AX43" s="104">
        <f t="shared" si="58"/>
        <v>0</v>
      </c>
      <c r="AY43" s="194">
        <f t="shared" si="33"/>
        <v>0</v>
      </c>
      <c r="AZ43" s="104">
        <f>SUMIF($BY$49:$BY$837,$BY43,AZ$49:AZ$837)</f>
        <v>0</v>
      </c>
      <c r="BA43" s="104">
        <f>SUMIF($BY$49:$BY$837,$BY43,BA$49:BA$837)</f>
        <v>0</v>
      </c>
      <c r="BB43" s="194">
        <f t="shared" si="34"/>
        <v>0</v>
      </c>
      <c r="BC43" s="104">
        <f>SUMIF($BY$49:$BY$837,$BY43,BC$49:BC$837)</f>
        <v>0</v>
      </c>
      <c r="BD43" s="104">
        <f>SUMIF($BY$49:$BY$837,$BY43,BD$49:BD$837)</f>
        <v>0</v>
      </c>
      <c r="BE43" s="194">
        <f t="shared" si="35"/>
        <v>0</v>
      </c>
      <c r="BF43" s="104">
        <f>SUMIF($BY$49:$BY$837,$BY43,BF$49:BF$837)</f>
        <v>0</v>
      </c>
      <c r="BG43" s="104">
        <f>SUMIF($BY$49:$BY$837,$BY43,BG$49:BG$837)</f>
        <v>0</v>
      </c>
      <c r="BH43" s="194">
        <f t="shared" si="36"/>
        <v>0</v>
      </c>
      <c r="BI43" s="104">
        <f>SUMIF($BY$49:$BY$837,$BY43,BI$49:BI$837)</f>
        <v>0</v>
      </c>
      <c r="BJ43" s="104">
        <f>SUMIF($BY$49:$BY$837,$BY43,BJ$49:BJ$837)</f>
        <v>0</v>
      </c>
      <c r="BK43" s="194">
        <f t="shared" si="37"/>
        <v>0</v>
      </c>
      <c r="BL43" s="104">
        <f>SUMIF($BY$49:$BY$837,$BY43,BL$49:BL$837)</f>
        <v>0</v>
      </c>
      <c r="BM43" s="104">
        <f>SUMIF($BY$49:$BY$837,$BY43,BM$49:BM$837)</f>
        <v>0</v>
      </c>
      <c r="BN43" s="103">
        <f t="shared" si="38"/>
        <v>0</v>
      </c>
      <c r="BO43" s="99"/>
      <c r="BS43" s="249"/>
      <c r="BY43" s="249" t="str">
        <f t="shared" si="45"/>
        <v>Лизингда</v>
      </c>
      <c r="BZ43" s="250"/>
    </row>
    <row r="44" spans="3:78" hidden="1">
      <c r="C44" s="45"/>
      <c r="D44" s="293"/>
      <c r="E44" s="107"/>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5"/>
      <c r="AF44" s="296" t="s">
        <v>238</v>
      </c>
      <c r="AG44" s="297" t="s">
        <v>239</v>
      </c>
      <c r="AH44" s="276"/>
      <c r="AI44" s="276"/>
      <c r="AJ44" s="276"/>
      <c r="AK44" s="276"/>
      <c r="AL44" s="276"/>
      <c r="AM44" s="276"/>
      <c r="AN44" s="276"/>
      <c r="AO44" s="276"/>
      <c r="AP44" s="276"/>
      <c r="AQ44" s="103">
        <f t="shared" si="30"/>
        <v>0</v>
      </c>
      <c r="AR44" s="103">
        <f t="shared" si="31"/>
        <v>0</v>
      </c>
      <c r="AS44" s="103">
        <f t="shared" si="32"/>
        <v>0</v>
      </c>
      <c r="AT44" s="104">
        <f t="shared" si="58"/>
        <v>0</v>
      </c>
      <c r="AU44" s="104">
        <f t="shared" si="58"/>
        <v>0</v>
      </c>
      <c r="AV44" s="104">
        <f t="shared" si="58"/>
        <v>0</v>
      </c>
      <c r="AW44" s="104">
        <f t="shared" si="58"/>
        <v>0</v>
      </c>
      <c r="AX44" s="104">
        <f t="shared" si="58"/>
        <v>0</v>
      </c>
      <c r="AY44" s="194">
        <f t="shared" si="33"/>
        <v>0</v>
      </c>
      <c r="AZ44" s="104">
        <f>SUMIF($BY$49:$BY$837,$BY44,AZ$49:AZ$837)</f>
        <v>0</v>
      </c>
      <c r="BA44" s="104">
        <f>SUMIF($BY$49:$BY$837,$BY44,BA$49:BA$837)</f>
        <v>0</v>
      </c>
      <c r="BB44" s="194">
        <f t="shared" si="34"/>
        <v>0</v>
      </c>
      <c r="BC44" s="104">
        <f>SUMIF($BY$49:$BY$837,$BY44,BC$49:BC$837)</f>
        <v>0</v>
      </c>
      <c r="BD44" s="104">
        <f>SUMIF($BY$49:$BY$837,$BY44,BD$49:BD$837)</f>
        <v>0</v>
      </c>
      <c r="BE44" s="194">
        <f t="shared" si="35"/>
        <v>0</v>
      </c>
      <c r="BF44" s="104">
        <f>SUMIF($BY$49:$BY$837,$BY44,BF$49:BF$837)</f>
        <v>0</v>
      </c>
      <c r="BG44" s="104">
        <f>SUMIF($BY$49:$BY$837,$BY44,BG$49:BG$837)</f>
        <v>0</v>
      </c>
      <c r="BH44" s="194">
        <f t="shared" si="36"/>
        <v>0</v>
      </c>
      <c r="BI44" s="104">
        <f>SUMIF($BY$49:$BY$837,$BY44,BI$49:BI$837)</f>
        <v>0</v>
      </c>
      <c r="BJ44" s="104">
        <f>SUMIF($BY$49:$BY$837,$BY44,BJ$49:BJ$837)</f>
        <v>0</v>
      </c>
      <c r="BK44" s="194">
        <f t="shared" si="37"/>
        <v>0</v>
      </c>
      <c r="BL44" s="104">
        <f>SUMIF($BY$49:$BY$837,$BY44,BL$49:BL$837)</f>
        <v>0</v>
      </c>
      <c r="BM44" s="104">
        <f>SUMIF($BY$49:$BY$837,$BY44,BM$49:BM$837)</f>
        <v>0</v>
      </c>
      <c r="BN44" s="103">
        <f t="shared" si="38"/>
        <v>0</v>
      </c>
      <c r="BO44" s="99"/>
      <c r="BS44" s="249"/>
      <c r="BY44" s="249" t="str">
        <f t="shared" si="45"/>
        <v>Прочиеда</v>
      </c>
      <c r="BZ44" s="250"/>
    </row>
    <row r="45" spans="3:78" ht="15" customHeight="1">
      <c r="C45" s="45"/>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105"/>
      <c r="AR45" s="105"/>
      <c r="AS45" s="105"/>
      <c r="AT45" s="105"/>
      <c r="AU45" s="105"/>
      <c r="AV45" s="105"/>
      <c r="AW45" s="105"/>
      <c r="AX45" s="105"/>
      <c r="AY45" s="105"/>
      <c r="AZ45" s="105"/>
      <c r="BA45" s="105"/>
      <c r="BB45" s="105"/>
      <c r="BC45" s="105"/>
      <c r="BD45" s="106"/>
      <c r="BE45" s="106"/>
      <c r="BF45" s="107"/>
      <c r="BG45" s="107"/>
      <c r="BH45" s="107"/>
      <c r="BI45" s="107"/>
      <c r="BJ45" s="107"/>
      <c r="BK45" s="107"/>
      <c r="BL45" s="107"/>
      <c r="BM45" s="107"/>
      <c r="BN45" s="114"/>
    </row>
    <row r="46" spans="3:78" ht="15" customHeight="1">
      <c r="C46" s="45"/>
      <c r="D46" s="55" t="s">
        <v>162</v>
      </c>
      <c r="E46" s="96"/>
      <c r="F46" s="9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99"/>
    </row>
    <row r="47" spans="3:78" ht="24" customHeight="1">
      <c r="C47" s="45"/>
      <c r="D47" s="410" t="s">
        <v>36</v>
      </c>
      <c r="E47" s="410" t="s">
        <v>195</v>
      </c>
      <c r="F47" s="410" t="s">
        <v>196</v>
      </c>
      <c r="G47" s="408" t="s">
        <v>163</v>
      </c>
      <c r="H47" s="412" t="s">
        <v>315</v>
      </c>
      <c r="I47" s="414"/>
      <c r="J47" s="414"/>
      <c r="K47" s="408" t="s">
        <v>254</v>
      </c>
      <c r="L47" s="412" t="s">
        <v>266</v>
      </c>
      <c r="M47" s="408" t="s">
        <v>267</v>
      </c>
      <c r="N47" s="415" t="s">
        <v>316</v>
      </c>
      <c r="O47" s="416"/>
      <c r="P47" s="412" t="s">
        <v>281</v>
      </c>
      <c r="Q47" s="412" t="s">
        <v>309</v>
      </c>
      <c r="R47" s="412" t="s">
        <v>310</v>
      </c>
      <c r="S47" s="412" t="s">
        <v>311</v>
      </c>
      <c r="T47" s="414"/>
      <c r="U47" s="414"/>
      <c r="V47" s="414"/>
      <c r="W47" s="414"/>
      <c r="X47" s="414"/>
      <c r="Y47" s="414"/>
      <c r="Z47" s="412" t="s">
        <v>315</v>
      </c>
      <c r="AA47" s="414"/>
      <c r="AB47" s="414"/>
      <c r="AC47" s="414"/>
      <c r="AD47" s="414"/>
      <c r="AE47" s="415" t="s">
        <v>317</v>
      </c>
      <c r="AF47" s="416"/>
      <c r="AG47" s="408" t="s">
        <v>161</v>
      </c>
      <c r="AH47" s="412" t="s">
        <v>365</v>
      </c>
      <c r="AI47" s="412" t="s">
        <v>371</v>
      </c>
      <c r="AJ47" s="412" t="s">
        <v>369</v>
      </c>
      <c r="AK47" s="412" t="s">
        <v>370</v>
      </c>
      <c r="AL47" s="412" t="s">
        <v>372</v>
      </c>
      <c r="AM47" s="412" t="s">
        <v>373</v>
      </c>
      <c r="AN47" s="412" t="s">
        <v>374</v>
      </c>
      <c r="AO47" s="412" t="s">
        <v>375</v>
      </c>
      <c r="AP47" s="412" t="s">
        <v>283</v>
      </c>
      <c r="AQ47" s="412" t="s">
        <v>299</v>
      </c>
      <c r="AR47" s="412" t="s">
        <v>346</v>
      </c>
      <c r="AS47" s="412" t="s">
        <v>301</v>
      </c>
      <c r="AT47" s="412" t="s">
        <v>302</v>
      </c>
      <c r="AU47" s="412" t="s">
        <v>390</v>
      </c>
      <c r="AV47" s="412" t="str">
        <f>"Размер средств, исключаемых из НВВ на " &amp; god &amp; " год, в связи с неисполнением ИП"</f>
        <v>Размер средств, исключаемых из НВВ на 2020 год, в связи с неисполнением ИП</v>
      </c>
      <c r="AW47" s="285" t="str">
        <f>"Утверждено на " &amp; god &amp; " (план)"</f>
        <v>Утверждено на 2020 (план)</v>
      </c>
      <c r="AX47" s="285" t="str">
        <f>"Утверждено на " &amp; god &amp; " (корректировка)"</f>
        <v>Утверждено на 2020 (корректировка)</v>
      </c>
      <c r="AY47" s="285" t="str">
        <f>"Утверждено на " &amp; god &amp; " (дельта)"</f>
        <v>Утверждено на 2020 (дельта)</v>
      </c>
      <c r="AZ47" s="285" t="str">
        <f>"Утверждено на " &amp; god+1 &amp; " (план)"</f>
        <v>Утверждено на 2021 (план)</v>
      </c>
      <c r="BA47" s="285" t="str">
        <f>"Утверждено на " &amp; god+1 &amp; " (корректировка)"</f>
        <v>Утверждено на 2021 (корректировка)</v>
      </c>
      <c r="BB47" s="285" t="str">
        <f>"Утверждено на " &amp; god+1 &amp; " (дельта)"</f>
        <v>Утверждено на 2021 (дельта)</v>
      </c>
      <c r="BC47" s="285" t="str">
        <f>"Утверждено на " &amp; god+2 &amp; " (план)"</f>
        <v>Утверждено на 2022 (план)</v>
      </c>
      <c r="BD47" s="285" t="str">
        <f>"Утверждено на " &amp; god+2 &amp; " (корректировка)"</f>
        <v>Утверждено на 2022 (корректировка)</v>
      </c>
      <c r="BE47" s="285" t="str">
        <f>"Утверждено на " &amp; god+2 &amp; " (дельта)"</f>
        <v>Утверждено на 2022 (дельта)</v>
      </c>
      <c r="BF47" s="285" t="str">
        <f>"Утверждено на " &amp; god+3 &amp; " (план)"</f>
        <v>Утверждено на 2023 (план)</v>
      </c>
      <c r="BG47" s="285" t="str">
        <f>"Утверждено на " &amp; god+3 &amp; " (корректировка)"</f>
        <v>Утверждено на 2023 (корректировка)</v>
      </c>
      <c r="BH47" s="285" t="str">
        <f>"Утверждено на " &amp; god+3 &amp; " (дельта)"</f>
        <v>Утверждено на 2023 (дельта)</v>
      </c>
      <c r="BI47" s="285" t="str">
        <f>"Утверждено на " &amp; god+4 &amp; " (план)"</f>
        <v>Утверждено на 2024 (план)</v>
      </c>
      <c r="BJ47" s="285" t="str">
        <f>"Утверждено на " &amp; god+4 &amp; " (корректировка)"</f>
        <v>Утверждено на 2024 (корректировка)</v>
      </c>
      <c r="BK47" s="285" t="str">
        <f>"Утверждено на " &amp; god+4 &amp; " (дельта)"</f>
        <v>Утверждено на 2024 (дельта)</v>
      </c>
      <c r="BL47" s="412" t="str">
        <f>"Утверждено на оставшийся период (план)"</f>
        <v>Утверждено на оставшийся период (план)</v>
      </c>
      <c r="BM47" s="412" t="str">
        <f>"Утверждено на оставшийся период (корректировка)"</f>
        <v>Утверждено на оставшийся период (корректировка)</v>
      </c>
      <c r="BN47" s="412" t="str">
        <f>"Утверждено на оставшийся период (дельта)"</f>
        <v>Утверждено на оставшийся период (дельта)</v>
      </c>
      <c r="BO47" s="99"/>
    </row>
    <row r="48" spans="3:78" ht="24" customHeight="1">
      <c r="C48" s="45"/>
      <c r="D48" s="411"/>
      <c r="E48" s="411"/>
      <c r="F48" s="411"/>
      <c r="G48" s="409"/>
      <c r="H48" s="285" t="s">
        <v>157</v>
      </c>
      <c r="I48" s="285" t="s">
        <v>158</v>
      </c>
      <c r="J48" s="285" t="s">
        <v>159</v>
      </c>
      <c r="K48" s="409"/>
      <c r="L48" s="413"/>
      <c r="M48" s="409"/>
      <c r="N48" s="417"/>
      <c r="O48" s="418"/>
      <c r="P48" s="413"/>
      <c r="Q48" s="413"/>
      <c r="R48" s="413"/>
      <c r="S48" s="285" t="s">
        <v>157</v>
      </c>
      <c r="T48" s="285" t="s">
        <v>158</v>
      </c>
      <c r="U48" s="285" t="s">
        <v>159</v>
      </c>
      <c r="V48" s="285" t="s">
        <v>312</v>
      </c>
      <c r="W48" s="285" t="s">
        <v>159</v>
      </c>
      <c r="X48" s="285" t="s">
        <v>313</v>
      </c>
      <c r="Y48" s="285" t="s">
        <v>314</v>
      </c>
      <c r="Z48" s="285" t="s">
        <v>157</v>
      </c>
      <c r="AA48" s="285" t="s">
        <v>158</v>
      </c>
      <c r="AB48" s="285" t="s">
        <v>159</v>
      </c>
      <c r="AC48" s="285" t="s">
        <v>312</v>
      </c>
      <c r="AD48" s="285" t="s">
        <v>159</v>
      </c>
      <c r="AE48" s="417"/>
      <c r="AF48" s="418"/>
      <c r="AG48" s="409"/>
      <c r="AH48" s="413"/>
      <c r="AI48" s="413"/>
      <c r="AJ48" s="413"/>
      <c r="AK48" s="413"/>
      <c r="AL48" s="413"/>
      <c r="AM48" s="413"/>
      <c r="AN48" s="413"/>
      <c r="AO48" s="413"/>
      <c r="AP48" s="409"/>
      <c r="AQ48" s="413"/>
      <c r="AR48" s="413"/>
      <c r="AS48" s="413"/>
      <c r="AT48" s="413"/>
      <c r="AU48" s="413"/>
      <c r="AV48" s="413"/>
      <c r="AW48" s="285" t="s">
        <v>141</v>
      </c>
      <c r="AX48" s="285" t="s">
        <v>141</v>
      </c>
      <c r="AY48" s="285" t="s">
        <v>141</v>
      </c>
      <c r="AZ48" s="285" t="s">
        <v>141</v>
      </c>
      <c r="BA48" s="285" t="s">
        <v>141</v>
      </c>
      <c r="BB48" s="285" t="s">
        <v>141</v>
      </c>
      <c r="BC48" s="285" t="s">
        <v>141</v>
      </c>
      <c r="BD48" s="285" t="s">
        <v>141</v>
      </c>
      <c r="BE48" s="285" t="s">
        <v>141</v>
      </c>
      <c r="BF48" s="285" t="s">
        <v>141</v>
      </c>
      <c r="BG48" s="285" t="s">
        <v>141</v>
      </c>
      <c r="BH48" s="285" t="s">
        <v>141</v>
      </c>
      <c r="BI48" s="285" t="s">
        <v>141</v>
      </c>
      <c r="BJ48" s="285" t="s">
        <v>141</v>
      </c>
      <c r="BK48" s="285" t="s">
        <v>141</v>
      </c>
      <c r="BL48" s="413"/>
      <c r="BM48" s="413"/>
      <c r="BN48" s="413"/>
      <c r="BO48" s="99"/>
    </row>
    <row r="49" spans="3:78" ht="12.75" customHeight="1" thickBot="1">
      <c r="C49" s="45"/>
      <c r="D49" s="108"/>
      <c r="E49" s="108"/>
      <c r="F49" s="108"/>
      <c r="G49" s="201" t="s">
        <v>141</v>
      </c>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420"/>
      <c r="AF49" s="420"/>
      <c r="AG49" s="420"/>
      <c r="AH49" s="287"/>
      <c r="AI49" s="287"/>
      <c r="AJ49" s="287"/>
      <c r="AK49" s="287"/>
      <c r="AL49" s="287"/>
      <c r="AM49" s="287"/>
      <c r="AN49" s="287"/>
      <c r="AO49" s="287"/>
      <c r="AP49" s="287"/>
      <c r="AQ49" s="101">
        <f>SUMIF($BO50:$BO153,"&lt;&gt;1",AQ50:AQ153)</f>
        <v>689518.41016201582</v>
      </c>
      <c r="AR49" s="101">
        <f>SUMIF($BO50:$BO153,"&lt;&gt;1",AR50:AR153)</f>
        <v>0</v>
      </c>
      <c r="AS49" s="100">
        <f>AQ49-AR49</f>
        <v>689518.41016201582</v>
      </c>
      <c r="AT49" s="101">
        <f>SUMIF($BO50:$BO153,"&lt;&gt;1",AT50:AT153)</f>
        <v>0</v>
      </c>
      <c r="AU49" s="101">
        <f>SUMIF($BO50:$BO153,"&lt;&gt;1",AU50:AU153)</f>
        <v>0</v>
      </c>
      <c r="AV49" s="101">
        <f>SUMIF($BO50:$BO153,"&lt;&gt;1",AV50:AV153)</f>
        <v>0</v>
      </c>
      <c r="AW49" s="101">
        <f>SUMIF($BO50:$BO153,"&lt;&gt;1",AW50:AW153)</f>
        <v>53104.138844058813</v>
      </c>
      <c r="AX49" s="101">
        <f>SUMIF($BO50:$BO153,"&lt;&gt;1",AX50:AX153)</f>
        <v>0</v>
      </c>
      <c r="AY49" s="101">
        <f>AW49-AX49</f>
        <v>53104.138844058813</v>
      </c>
      <c r="AZ49" s="101">
        <f>SUMIF($BO50:$BO153,"&lt;&gt;1",AZ50:AZ153)</f>
        <v>386225.1420529352</v>
      </c>
      <c r="BA49" s="101">
        <f>SUMIF($BO50:$BO153,"&lt;&gt;1",BA50:BA153)</f>
        <v>0</v>
      </c>
      <c r="BB49" s="101">
        <f>AZ49-BA49</f>
        <v>386225.1420529352</v>
      </c>
      <c r="BC49" s="101">
        <f>SUMIF($BO50:$BO153,"&lt;&gt;1",BC50:BC153)</f>
        <v>250189.12926502159</v>
      </c>
      <c r="BD49" s="101">
        <f>SUMIF($BO50:$BO153,"&lt;&gt;1",BD50:BD153)</f>
        <v>0</v>
      </c>
      <c r="BE49" s="101">
        <f>BC49-BD49</f>
        <v>250189.12926502159</v>
      </c>
      <c r="BF49" s="101">
        <f>SUMIF($BO50:$BO153,"&lt;&gt;1",BF50:BF153)</f>
        <v>0</v>
      </c>
      <c r="BG49" s="101">
        <f>SUMIF($BO50:$BO153,"&lt;&gt;1",BG50:BG153)</f>
        <v>0</v>
      </c>
      <c r="BH49" s="101">
        <f>BF49-BG49</f>
        <v>0</v>
      </c>
      <c r="BI49" s="101">
        <f>SUMIF($BO50:$BO153,"&lt;&gt;1",BI50:BI153)</f>
        <v>0</v>
      </c>
      <c r="BJ49" s="101">
        <f>SUMIF($BO50:$BO153,"&lt;&gt;1",BJ50:BJ153)</f>
        <v>0</v>
      </c>
      <c r="BK49" s="101">
        <f>BI49-BJ49</f>
        <v>0</v>
      </c>
      <c r="BL49" s="101">
        <f>SUMIF($BO50:$BO153,"&lt;&gt;1",BL50:BL153)</f>
        <v>0</v>
      </c>
      <c r="BM49" s="101">
        <f>SUMIF($BO50:$BO153,"&lt;&gt;1",BM50:BM153)</f>
        <v>0</v>
      </c>
      <c r="BN49" s="100">
        <f>BL49-BM49</f>
        <v>0</v>
      </c>
      <c r="BO49" s="99"/>
    </row>
    <row r="50" spans="3:78" ht="12" hidden="1" thickBot="1">
      <c r="C50" s="45"/>
      <c r="D50" s="98">
        <v>0</v>
      </c>
      <c r="E50" s="98"/>
      <c r="F50" s="98"/>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14"/>
      <c r="BO50" s="99"/>
    </row>
    <row r="51" spans="3:78" ht="11.25" customHeight="1">
      <c r="C51" s="97" t="s">
        <v>1240</v>
      </c>
      <c r="D51" s="366" t="s">
        <v>268</v>
      </c>
      <c r="E51" s="369" t="s">
        <v>199</v>
      </c>
      <c r="F51" s="405" t="s">
        <v>210</v>
      </c>
      <c r="G51" s="375" t="s">
        <v>1281</v>
      </c>
      <c r="H51" s="378" t="s">
        <v>715</v>
      </c>
      <c r="I51" s="381" t="s">
        <v>715</v>
      </c>
      <c r="J51" s="381" t="s">
        <v>716</v>
      </c>
      <c r="K51" s="384">
        <v>2</v>
      </c>
      <c r="L51" s="387" t="s">
        <v>5</v>
      </c>
      <c r="M51" s="390">
        <v>0</v>
      </c>
      <c r="N51" s="163"/>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2"/>
      <c r="BO51" s="251"/>
      <c r="BP51" s="250"/>
      <c r="BQ51" s="250"/>
      <c r="BR51" s="250"/>
      <c r="BS51" s="250"/>
      <c r="BT51" s="250"/>
      <c r="BU51" s="250"/>
      <c r="BY51" s="250"/>
    </row>
    <row r="52" spans="3:78" ht="11.25" customHeight="1">
      <c r="C52" s="306"/>
      <c r="D52" s="367"/>
      <c r="E52" s="370"/>
      <c r="F52" s="406"/>
      <c r="G52" s="376"/>
      <c r="H52" s="379"/>
      <c r="I52" s="382"/>
      <c r="J52" s="382"/>
      <c r="K52" s="385"/>
      <c r="L52" s="388"/>
      <c r="M52" s="391"/>
      <c r="N52" s="393"/>
      <c r="O52" s="396">
        <v>1</v>
      </c>
      <c r="P52" s="399" t="s">
        <v>18</v>
      </c>
      <c r="Q52" s="419" t="s">
        <v>1262</v>
      </c>
      <c r="R52" s="361" t="s">
        <v>1263</v>
      </c>
      <c r="S52" s="361" t="s">
        <v>715</v>
      </c>
      <c r="T52" s="361" t="s">
        <v>715</v>
      </c>
      <c r="U52" s="361" t="s">
        <v>716</v>
      </c>
      <c r="V52" s="361" t="s">
        <v>1259</v>
      </c>
      <c r="W52" s="361" t="s">
        <v>1260</v>
      </c>
      <c r="X52" s="361" t="s">
        <v>1264</v>
      </c>
      <c r="Y52" s="361" t="s">
        <v>268</v>
      </c>
      <c r="Z52" s="361" t="s">
        <v>715</v>
      </c>
      <c r="AA52" s="361" t="s">
        <v>715</v>
      </c>
      <c r="AB52" s="361" t="s">
        <v>716</v>
      </c>
      <c r="AC52" s="361" t="s">
        <v>1259</v>
      </c>
      <c r="AD52" s="361" t="s">
        <v>1260</v>
      </c>
      <c r="AE52" s="209"/>
      <c r="AF52" s="220">
        <v>0</v>
      </c>
      <c r="AG52" s="219" t="s">
        <v>308</v>
      </c>
      <c r="AH52" s="219"/>
      <c r="AI52" s="219"/>
      <c r="AJ52" s="219"/>
      <c r="AK52" s="219"/>
      <c r="AL52" s="219"/>
      <c r="AM52" s="219"/>
      <c r="AN52" s="219"/>
      <c r="AO52" s="219"/>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5"/>
      <c r="BO52" s="251"/>
      <c r="BP52" s="364" t="s">
        <v>1256</v>
      </c>
      <c r="BQ52" s="364" t="s">
        <v>1256</v>
      </c>
      <c r="BR52" s="364" t="s">
        <v>268</v>
      </c>
      <c r="BS52" s="250"/>
      <c r="BT52" s="364" t="s">
        <v>462</v>
      </c>
      <c r="BU52" s="364" t="s">
        <v>463</v>
      </c>
      <c r="BV52" s="364" t="s">
        <v>435</v>
      </c>
      <c r="BW52" s="364" t="s">
        <v>154</v>
      </c>
      <c r="BX52" s="364" t="s">
        <v>268</v>
      </c>
      <c r="BY52" s="250"/>
    </row>
    <row r="53" spans="3:78" ht="14.25">
      <c r="C53" s="306"/>
      <c r="D53" s="367"/>
      <c r="E53" s="370"/>
      <c r="F53" s="406"/>
      <c r="G53" s="376"/>
      <c r="H53" s="379"/>
      <c r="I53" s="382"/>
      <c r="J53" s="382"/>
      <c r="K53" s="385"/>
      <c r="L53" s="388"/>
      <c r="M53" s="391"/>
      <c r="N53" s="394"/>
      <c r="O53" s="397"/>
      <c r="P53" s="400"/>
      <c r="Q53" s="403"/>
      <c r="R53" s="362"/>
      <c r="S53" s="362"/>
      <c r="T53" s="362"/>
      <c r="U53" s="362"/>
      <c r="V53" s="362"/>
      <c r="W53" s="362"/>
      <c r="X53" s="362"/>
      <c r="Y53" s="362"/>
      <c r="Z53" s="362"/>
      <c r="AA53" s="362"/>
      <c r="AB53" s="362"/>
      <c r="AC53" s="362"/>
      <c r="AD53" s="362"/>
      <c r="AE53" s="193"/>
      <c r="AF53" s="217" t="s">
        <v>268</v>
      </c>
      <c r="AG53" s="158" t="s">
        <v>221</v>
      </c>
      <c r="AH53" s="300" t="s">
        <v>19</v>
      </c>
      <c r="AI53" s="301" t="s">
        <v>154</v>
      </c>
      <c r="AJ53" s="221"/>
      <c r="AK53" s="221"/>
      <c r="AL53" s="221"/>
      <c r="AM53" s="221"/>
      <c r="AN53" s="221"/>
      <c r="AO53" s="221"/>
      <c r="AP53" s="302" t="s">
        <v>19</v>
      </c>
      <c r="AQ53" s="195">
        <f>SUM(AT53,AW53,AZ53,BC53,BF53,BI53,BL53)</f>
        <v>2180.3015149569501</v>
      </c>
      <c r="AR53" s="197">
        <f>SUM(AT53,AX53,BA53,BD53,BG53,BJ53,BM53)</f>
        <v>0</v>
      </c>
      <c r="AS53" s="195">
        <f>AQ53-AR53</f>
        <v>2180.3015149569501</v>
      </c>
      <c r="AT53" s="312"/>
      <c r="AU53" s="312"/>
      <c r="AV53" s="244"/>
      <c r="AW53" s="159"/>
      <c r="AX53" s="312"/>
      <c r="AY53" s="194">
        <f>AW53-AX53</f>
        <v>0</v>
      </c>
      <c r="AZ53" s="160">
        <v>1141.6871545384502</v>
      </c>
      <c r="BA53" s="312"/>
      <c r="BB53" s="194">
        <f>AZ53-BA53</f>
        <v>1141.6871545384502</v>
      </c>
      <c r="BC53" s="159">
        <v>1038.6143604185002</v>
      </c>
      <c r="BD53" s="312"/>
      <c r="BE53" s="194">
        <f>BC53-BD53</f>
        <v>1038.6143604185002</v>
      </c>
      <c r="BF53" s="159"/>
      <c r="BG53" s="244"/>
      <c r="BH53" s="194">
        <f>BF53-BG53</f>
        <v>0</v>
      </c>
      <c r="BI53" s="159"/>
      <c r="BJ53" s="244"/>
      <c r="BK53" s="194">
        <f>BI53-BJ53</f>
        <v>0</v>
      </c>
      <c r="BL53" s="312"/>
      <c r="BM53" s="312"/>
      <c r="BN53" s="195">
        <f>BL53-BM53</f>
        <v>0</v>
      </c>
      <c r="BO53" s="251">
        <v>0</v>
      </c>
      <c r="BP53" s="364"/>
      <c r="BQ53" s="364"/>
      <c r="BR53" s="364"/>
      <c r="BS53" s="249" t="str">
        <f>AG53 &amp; BO53</f>
        <v>Амортизационные отчисления0</v>
      </c>
      <c r="BT53" s="364"/>
      <c r="BU53" s="364"/>
      <c r="BV53" s="364"/>
      <c r="BW53" s="364"/>
      <c r="BX53" s="364"/>
      <c r="BY53" s="249" t="str">
        <f>AG53&amp;AH53</f>
        <v>Амортизационные отчислениянет</v>
      </c>
      <c r="BZ53" s="250"/>
    </row>
    <row r="54" spans="3:78" ht="14.25">
      <c r="C54" s="97"/>
      <c r="D54" s="367"/>
      <c r="E54" s="370"/>
      <c r="F54" s="406"/>
      <c r="G54" s="376"/>
      <c r="H54" s="379"/>
      <c r="I54" s="382"/>
      <c r="J54" s="382"/>
      <c r="K54" s="385"/>
      <c r="L54" s="388"/>
      <c r="M54" s="391"/>
      <c r="N54" s="394"/>
      <c r="O54" s="397"/>
      <c r="P54" s="400"/>
      <c r="Q54" s="403"/>
      <c r="R54" s="362"/>
      <c r="S54" s="362"/>
      <c r="T54" s="362"/>
      <c r="U54" s="362"/>
      <c r="V54" s="362"/>
      <c r="W54" s="362"/>
      <c r="X54" s="362"/>
      <c r="Y54" s="362"/>
      <c r="Z54" s="362"/>
      <c r="AA54" s="362"/>
      <c r="AB54" s="362"/>
      <c r="AC54" s="362"/>
      <c r="AD54" s="362"/>
      <c r="AE54" s="322" t="s">
        <v>1240</v>
      </c>
      <c r="AF54" s="217" t="s">
        <v>118</v>
      </c>
      <c r="AG54" s="196" t="s">
        <v>223</v>
      </c>
      <c r="AH54" s="302" t="s">
        <v>19</v>
      </c>
      <c r="AI54" s="301" t="s">
        <v>154</v>
      </c>
      <c r="AJ54" s="221"/>
      <c r="AK54" s="221"/>
      <c r="AL54" s="221"/>
      <c r="AM54" s="221"/>
      <c r="AN54" s="221"/>
      <c r="AO54" s="221"/>
      <c r="AP54" s="302" t="s">
        <v>19</v>
      </c>
      <c r="AQ54" s="195">
        <f>SUM(AT54,AW54,AZ54,BC54,BF54,BI54,BL54)</f>
        <v>436.06030299138979</v>
      </c>
      <c r="AR54" s="197">
        <f>SUM(AT54,AX54,BA54,BD54,BG54,BJ54,BM54)</f>
        <v>0</v>
      </c>
      <c r="AS54" s="195">
        <f>AQ54-AR54</f>
        <v>436.06030299138979</v>
      </c>
      <c r="AT54" s="315"/>
      <c r="AU54" s="315"/>
      <c r="AV54" s="241"/>
      <c r="AW54" s="198"/>
      <c r="AX54" s="313"/>
      <c r="AY54" s="199">
        <f>AW54-AX54</f>
        <v>0</v>
      </c>
      <c r="AZ54" s="173">
        <f>1370.02458544614-AZ53</f>
        <v>228.33743090768985</v>
      </c>
      <c r="BA54" s="313"/>
      <c r="BB54" s="199">
        <f>AZ54-BA54</f>
        <v>228.33743090768985</v>
      </c>
      <c r="BC54" s="198">
        <f>1246.3372325022-BC53</f>
        <v>207.72287208369994</v>
      </c>
      <c r="BD54" s="313"/>
      <c r="BE54" s="199">
        <f>BC54-BD54</f>
        <v>207.72287208369994</v>
      </c>
      <c r="BF54" s="198"/>
      <c r="BG54" s="241"/>
      <c r="BH54" s="199">
        <f>BF54-BG54</f>
        <v>0</v>
      </c>
      <c r="BI54" s="198"/>
      <c r="BJ54" s="241"/>
      <c r="BK54" s="199">
        <f>BI54-BJ54</f>
        <v>0</v>
      </c>
      <c r="BL54" s="313"/>
      <c r="BM54" s="313"/>
      <c r="BN54" s="195">
        <f>BL54-BM54</f>
        <v>0</v>
      </c>
      <c r="BO54" s="251">
        <v>0</v>
      </c>
      <c r="BP54" s="364"/>
      <c r="BQ54" s="364"/>
      <c r="BR54" s="364"/>
      <c r="BS54" s="249" t="str">
        <f>AG54 &amp; BO54</f>
        <v>Прочие собственные средства0</v>
      </c>
      <c r="BT54" s="364"/>
      <c r="BU54" s="364"/>
      <c r="BV54" s="364"/>
      <c r="BW54" s="364"/>
      <c r="BX54" s="364"/>
      <c r="BY54" s="249" t="str">
        <f>AG54&amp;AH54</f>
        <v>Прочие собственные средстванет</v>
      </c>
      <c r="BZ54" s="250"/>
    </row>
    <row r="55" spans="3:78" ht="15" customHeight="1">
      <c r="C55" s="306"/>
      <c r="D55" s="367"/>
      <c r="E55" s="370"/>
      <c r="F55" s="406"/>
      <c r="G55" s="376"/>
      <c r="H55" s="379"/>
      <c r="I55" s="382"/>
      <c r="J55" s="382"/>
      <c r="K55" s="385"/>
      <c r="L55" s="388"/>
      <c r="M55" s="391"/>
      <c r="N55" s="395"/>
      <c r="O55" s="398"/>
      <c r="P55" s="401"/>
      <c r="Q55" s="404"/>
      <c r="R55" s="363"/>
      <c r="S55" s="363"/>
      <c r="T55" s="363"/>
      <c r="U55" s="363"/>
      <c r="V55" s="363"/>
      <c r="W55" s="363"/>
      <c r="X55" s="363"/>
      <c r="Y55" s="363"/>
      <c r="Z55" s="363"/>
      <c r="AA55" s="363"/>
      <c r="AB55" s="363"/>
      <c r="AC55" s="363"/>
      <c r="AD55" s="363"/>
      <c r="AE55" s="279" t="s">
        <v>379</v>
      </c>
      <c r="AF55" s="203"/>
      <c r="AG55" s="223" t="s">
        <v>24</v>
      </c>
      <c r="AH55" s="223"/>
      <c r="AI55" s="223"/>
      <c r="AJ55" s="223"/>
      <c r="AK55" s="223"/>
      <c r="AL55" s="223"/>
      <c r="AM55" s="223"/>
      <c r="AN55" s="223"/>
      <c r="AO55" s="223"/>
      <c r="AP55" s="168"/>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70"/>
      <c r="BO55" s="251"/>
      <c r="BP55" s="364"/>
      <c r="BQ55" s="364"/>
      <c r="BR55" s="364"/>
      <c r="BS55" s="250"/>
      <c r="BT55" s="364"/>
      <c r="BU55" s="364"/>
      <c r="BV55" s="364"/>
      <c r="BW55" s="364"/>
      <c r="BX55" s="364"/>
      <c r="BY55" s="250"/>
    </row>
    <row r="56" spans="3:78" ht="15" customHeight="1" thickBot="1">
      <c r="C56" s="307"/>
      <c r="D56" s="368"/>
      <c r="E56" s="371"/>
      <c r="F56" s="407"/>
      <c r="G56" s="377"/>
      <c r="H56" s="380"/>
      <c r="I56" s="383"/>
      <c r="J56" s="383"/>
      <c r="K56" s="386"/>
      <c r="L56" s="389"/>
      <c r="M56" s="392"/>
      <c r="N56" s="280" t="s">
        <v>380</v>
      </c>
      <c r="O56" s="212"/>
      <c r="P56" s="365" t="s">
        <v>282</v>
      </c>
      <c r="Q56" s="365"/>
      <c r="R56" s="171"/>
      <c r="S56" s="171"/>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7"/>
      <c r="BO56" s="251"/>
      <c r="BP56" s="250"/>
      <c r="BQ56" s="250"/>
      <c r="BR56" s="250"/>
      <c r="BS56" s="250"/>
      <c r="BT56" s="250"/>
      <c r="BU56" s="250"/>
      <c r="BY56" s="250"/>
    </row>
    <row r="57" spans="3:78" ht="11.25" customHeight="1">
      <c r="C57" s="97" t="s">
        <v>1240</v>
      </c>
      <c r="D57" s="366" t="s">
        <v>118</v>
      </c>
      <c r="E57" s="369" t="s">
        <v>199</v>
      </c>
      <c r="F57" s="405" t="s">
        <v>210</v>
      </c>
      <c r="G57" s="375" t="s">
        <v>1282</v>
      </c>
      <c r="H57" s="378" t="s">
        <v>715</v>
      </c>
      <c r="I57" s="381" t="s">
        <v>715</v>
      </c>
      <c r="J57" s="381" t="s">
        <v>716</v>
      </c>
      <c r="K57" s="384">
        <v>2</v>
      </c>
      <c r="L57" s="387" t="s">
        <v>5</v>
      </c>
      <c r="M57" s="390">
        <v>0</v>
      </c>
      <c r="N57" s="163"/>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2"/>
      <c r="BO57" s="251"/>
      <c r="BP57" s="250"/>
      <c r="BQ57" s="250"/>
      <c r="BR57" s="250"/>
      <c r="BS57" s="250"/>
      <c r="BT57" s="250"/>
      <c r="BU57" s="250"/>
      <c r="BY57" s="250"/>
    </row>
    <row r="58" spans="3:78" ht="11.25" customHeight="1">
      <c r="C58" s="306"/>
      <c r="D58" s="367"/>
      <c r="E58" s="370"/>
      <c r="F58" s="406"/>
      <c r="G58" s="376"/>
      <c r="H58" s="379"/>
      <c r="I58" s="382"/>
      <c r="J58" s="382"/>
      <c r="K58" s="385"/>
      <c r="L58" s="388"/>
      <c r="M58" s="391"/>
      <c r="N58" s="393"/>
      <c r="O58" s="396">
        <v>1</v>
      </c>
      <c r="P58" s="399" t="s">
        <v>18</v>
      </c>
      <c r="Q58" s="419" t="s">
        <v>1267</v>
      </c>
      <c r="R58" s="361" t="s">
        <v>1263</v>
      </c>
      <c r="S58" s="361" t="s">
        <v>715</v>
      </c>
      <c r="T58" s="361" t="s">
        <v>715</v>
      </c>
      <c r="U58" s="361" t="s">
        <v>716</v>
      </c>
      <c r="V58" s="361" t="s">
        <v>1259</v>
      </c>
      <c r="W58" s="361" t="s">
        <v>1260</v>
      </c>
      <c r="X58" s="361" t="s">
        <v>1268</v>
      </c>
      <c r="Y58" s="361" t="s">
        <v>1269</v>
      </c>
      <c r="Z58" s="361" t="s">
        <v>715</v>
      </c>
      <c r="AA58" s="361" t="s">
        <v>715</v>
      </c>
      <c r="AB58" s="361" t="s">
        <v>716</v>
      </c>
      <c r="AC58" s="361" t="s">
        <v>1259</v>
      </c>
      <c r="AD58" s="361" t="s">
        <v>1260</v>
      </c>
      <c r="AE58" s="209"/>
      <c r="AF58" s="220">
        <v>0</v>
      </c>
      <c r="AG58" s="219" t="s">
        <v>308</v>
      </c>
      <c r="AH58" s="219"/>
      <c r="AI58" s="219"/>
      <c r="AJ58" s="219"/>
      <c r="AK58" s="219"/>
      <c r="AL58" s="219"/>
      <c r="AM58" s="219"/>
      <c r="AN58" s="219"/>
      <c r="AO58" s="219"/>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5"/>
      <c r="BO58" s="251"/>
      <c r="BP58" s="364" t="s">
        <v>1256</v>
      </c>
      <c r="BQ58" s="364" t="s">
        <v>1256</v>
      </c>
      <c r="BR58" s="364" t="s">
        <v>118</v>
      </c>
      <c r="BS58" s="250"/>
      <c r="BT58" s="364" t="s">
        <v>462</v>
      </c>
      <c r="BU58" s="364" t="s">
        <v>463</v>
      </c>
      <c r="BV58" s="364" t="s">
        <v>435</v>
      </c>
      <c r="BW58" s="364" t="s">
        <v>154</v>
      </c>
      <c r="BX58" s="364" t="s">
        <v>268</v>
      </c>
      <c r="BY58" s="250"/>
    </row>
    <row r="59" spans="3:78" ht="14.25">
      <c r="C59" s="306"/>
      <c r="D59" s="367"/>
      <c r="E59" s="370"/>
      <c r="F59" s="406"/>
      <c r="G59" s="376"/>
      <c r="H59" s="379"/>
      <c r="I59" s="382"/>
      <c r="J59" s="382"/>
      <c r="K59" s="385"/>
      <c r="L59" s="388"/>
      <c r="M59" s="391"/>
      <c r="N59" s="394"/>
      <c r="O59" s="397"/>
      <c r="P59" s="400"/>
      <c r="Q59" s="403"/>
      <c r="R59" s="362"/>
      <c r="S59" s="362"/>
      <c r="T59" s="362"/>
      <c r="U59" s="362"/>
      <c r="V59" s="362"/>
      <c r="W59" s="362"/>
      <c r="X59" s="362"/>
      <c r="Y59" s="362"/>
      <c r="Z59" s="362"/>
      <c r="AA59" s="362"/>
      <c r="AB59" s="362"/>
      <c r="AC59" s="362"/>
      <c r="AD59" s="362"/>
      <c r="AE59" s="193"/>
      <c r="AF59" s="217" t="s">
        <v>268</v>
      </c>
      <c r="AG59" s="158" t="s">
        <v>221</v>
      </c>
      <c r="AH59" s="300" t="s">
        <v>19</v>
      </c>
      <c r="AI59" s="301" t="s">
        <v>154</v>
      </c>
      <c r="AJ59" s="221"/>
      <c r="AK59" s="221"/>
      <c r="AL59" s="221"/>
      <c r="AM59" s="221"/>
      <c r="AN59" s="221"/>
      <c r="AO59" s="221"/>
      <c r="AP59" s="302" t="s">
        <v>19</v>
      </c>
      <c r="AQ59" s="195">
        <f>SUM(AT59,AW59,AZ59,BC59,BF59,BI59,BL59)</f>
        <v>4325.5491172278398</v>
      </c>
      <c r="AR59" s="197">
        <f>SUM(AT59,AX59,BA59,BD59,BG59,BJ59,BM59)</f>
        <v>0</v>
      </c>
      <c r="AS59" s="195">
        <f>AQ59-AR59</f>
        <v>4325.5491172278398</v>
      </c>
      <c r="AT59" s="312"/>
      <c r="AU59" s="312"/>
      <c r="AV59" s="244"/>
      <c r="AW59" s="159"/>
      <c r="AX59" s="312"/>
      <c r="AY59" s="194">
        <f>AW59-AX59</f>
        <v>0</v>
      </c>
      <c r="AZ59" s="160">
        <v>1141.6871545384502</v>
      </c>
      <c r="BA59" s="312"/>
      <c r="BB59" s="194">
        <f>AZ59-BA59</f>
        <v>1141.6871545384502</v>
      </c>
      <c r="BC59" s="159">
        <v>3183.8619626893892</v>
      </c>
      <c r="BD59" s="312"/>
      <c r="BE59" s="194">
        <f>BC59-BD59</f>
        <v>3183.8619626893892</v>
      </c>
      <c r="BF59" s="159"/>
      <c r="BG59" s="244"/>
      <c r="BH59" s="194">
        <f>BF59-BG59</f>
        <v>0</v>
      </c>
      <c r="BI59" s="159"/>
      <c r="BJ59" s="244"/>
      <c r="BK59" s="194">
        <f>BI59-BJ59</f>
        <v>0</v>
      </c>
      <c r="BL59" s="312"/>
      <c r="BM59" s="312"/>
      <c r="BN59" s="195">
        <f>BL59-BM59</f>
        <v>0</v>
      </c>
      <c r="BO59" s="251">
        <v>0</v>
      </c>
      <c r="BP59" s="364"/>
      <c r="BQ59" s="364"/>
      <c r="BR59" s="364"/>
      <c r="BS59" s="249" t="str">
        <f>AG59 &amp; BO59</f>
        <v>Амортизационные отчисления0</v>
      </c>
      <c r="BT59" s="364"/>
      <c r="BU59" s="364"/>
      <c r="BV59" s="364"/>
      <c r="BW59" s="364"/>
      <c r="BX59" s="364"/>
      <c r="BY59" s="249" t="str">
        <f>AG59&amp;AH59</f>
        <v>Амортизационные отчислениянет</v>
      </c>
      <c r="BZ59" s="250"/>
    </row>
    <row r="60" spans="3:78" ht="14.25">
      <c r="C60" s="97"/>
      <c r="D60" s="367"/>
      <c r="E60" s="370"/>
      <c r="F60" s="406"/>
      <c r="G60" s="376"/>
      <c r="H60" s="379"/>
      <c r="I60" s="382"/>
      <c r="J60" s="382"/>
      <c r="K60" s="385"/>
      <c r="L60" s="388"/>
      <c r="M60" s="391"/>
      <c r="N60" s="394"/>
      <c r="O60" s="397"/>
      <c r="P60" s="400"/>
      <c r="Q60" s="403"/>
      <c r="R60" s="362"/>
      <c r="S60" s="362"/>
      <c r="T60" s="362"/>
      <c r="U60" s="362"/>
      <c r="V60" s="362"/>
      <c r="W60" s="362"/>
      <c r="X60" s="362"/>
      <c r="Y60" s="362"/>
      <c r="Z60" s="362"/>
      <c r="AA60" s="362"/>
      <c r="AB60" s="362"/>
      <c r="AC60" s="362"/>
      <c r="AD60" s="362"/>
      <c r="AE60" s="322" t="s">
        <v>1240</v>
      </c>
      <c r="AF60" s="217" t="s">
        <v>118</v>
      </c>
      <c r="AG60" s="196" t="s">
        <v>223</v>
      </c>
      <c r="AH60" s="302" t="s">
        <v>19</v>
      </c>
      <c r="AI60" s="301" t="s">
        <v>154</v>
      </c>
      <c r="AJ60" s="221"/>
      <c r="AK60" s="221"/>
      <c r="AL60" s="221"/>
      <c r="AM60" s="221"/>
      <c r="AN60" s="221"/>
      <c r="AO60" s="221"/>
      <c r="AP60" s="302" t="s">
        <v>19</v>
      </c>
      <c r="AQ60" s="195">
        <f>SUM(AT60,AW60,AZ60,BC60,BF60,BI60,BL60)</f>
        <v>865.10982344557078</v>
      </c>
      <c r="AR60" s="197">
        <f>SUM(AT60,AX60,BA60,BD60,BG60,BJ60,BM60)</f>
        <v>0</v>
      </c>
      <c r="AS60" s="195">
        <f>AQ60-AR60</f>
        <v>865.10982344557078</v>
      </c>
      <c r="AT60" s="315"/>
      <c r="AU60" s="315"/>
      <c r="AV60" s="241"/>
      <c r="AW60" s="198"/>
      <c r="AX60" s="313"/>
      <c r="AY60" s="199">
        <f>AW60-AX60</f>
        <v>0</v>
      </c>
      <c r="AZ60" s="173">
        <f>1370.02458544614-AZ59</f>
        <v>228.33743090768985</v>
      </c>
      <c r="BA60" s="313"/>
      <c r="BB60" s="199">
        <f>AZ60-BA60</f>
        <v>228.33743090768985</v>
      </c>
      <c r="BC60" s="198">
        <f>3820.63435522727-BC59</f>
        <v>636.77239253788093</v>
      </c>
      <c r="BD60" s="313"/>
      <c r="BE60" s="199">
        <f>BC60-BD60</f>
        <v>636.77239253788093</v>
      </c>
      <c r="BF60" s="198"/>
      <c r="BG60" s="241"/>
      <c r="BH60" s="199">
        <f>BF60-BG60</f>
        <v>0</v>
      </c>
      <c r="BI60" s="198"/>
      <c r="BJ60" s="241"/>
      <c r="BK60" s="199">
        <f>BI60-BJ60</f>
        <v>0</v>
      </c>
      <c r="BL60" s="313"/>
      <c r="BM60" s="313"/>
      <c r="BN60" s="195">
        <f>BL60-BM60</f>
        <v>0</v>
      </c>
      <c r="BO60" s="251">
        <v>0</v>
      </c>
      <c r="BP60" s="364"/>
      <c r="BQ60" s="364"/>
      <c r="BR60" s="364"/>
      <c r="BS60" s="249" t="str">
        <f>AG60 &amp; BO60</f>
        <v>Прочие собственные средства0</v>
      </c>
      <c r="BT60" s="364"/>
      <c r="BU60" s="364"/>
      <c r="BV60" s="364"/>
      <c r="BW60" s="364"/>
      <c r="BX60" s="364"/>
      <c r="BY60" s="249" t="str">
        <f>AG60&amp;AH60</f>
        <v>Прочие собственные средстванет</v>
      </c>
      <c r="BZ60" s="250"/>
    </row>
    <row r="61" spans="3:78" ht="15" customHeight="1">
      <c r="C61" s="306"/>
      <c r="D61" s="367"/>
      <c r="E61" s="370"/>
      <c r="F61" s="406"/>
      <c r="G61" s="376"/>
      <c r="H61" s="379"/>
      <c r="I61" s="382"/>
      <c r="J61" s="382"/>
      <c r="K61" s="385"/>
      <c r="L61" s="388"/>
      <c r="M61" s="391"/>
      <c r="N61" s="395"/>
      <c r="O61" s="398"/>
      <c r="P61" s="401"/>
      <c r="Q61" s="404"/>
      <c r="R61" s="363"/>
      <c r="S61" s="363"/>
      <c r="T61" s="363"/>
      <c r="U61" s="363"/>
      <c r="V61" s="363"/>
      <c r="W61" s="363"/>
      <c r="X61" s="363"/>
      <c r="Y61" s="363"/>
      <c r="Z61" s="363"/>
      <c r="AA61" s="363"/>
      <c r="AB61" s="363"/>
      <c r="AC61" s="363"/>
      <c r="AD61" s="363"/>
      <c r="AE61" s="279" t="s">
        <v>379</v>
      </c>
      <c r="AF61" s="203"/>
      <c r="AG61" s="223" t="s">
        <v>24</v>
      </c>
      <c r="AH61" s="223"/>
      <c r="AI61" s="223"/>
      <c r="AJ61" s="223"/>
      <c r="AK61" s="223"/>
      <c r="AL61" s="223"/>
      <c r="AM61" s="223"/>
      <c r="AN61" s="223"/>
      <c r="AO61" s="223"/>
      <c r="AP61" s="168"/>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70"/>
      <c r="BO61" s="251"/>
      <c r="BP61" s="364"/>
      <c r="BQ61" s="364"/>
      <c r="BR61" s="364"/>
      <c r="BS61" s="250"/>
      <c r="BT61" s="364"/>
      <c r="BU61" s="364"/>
      <c r="BV61" s="364"/>
      <c r="BW61" s="364"/>
      <c r="BX61" s="364"/>
      <c r="BY61" s="250"/>
    </row>
    <row r="62" spans="3:78" ht="15" customHeight="1" thickBot="1">
      <c r="C62" s="307"/>
      <c r="D62" s="368"/>
      <c r="E62" s="371"/>
      <c r="F62" s="407"/>
      <c r="G62" s="377"/>
      <c r="H62" s="380"/>
      <c r="I62" s="383"/>
      <c r="J62" s="383"/>
      <c r="K62" s="386"/>
      <c r="L62" s="389"/>
      <c r="M62" s="392"/>
      <c r="N62" s="280" t="s">
        <v>380</v>
      </c>
      <c r="O62" s="212"/>
      <c r="P62" s="365" t="s">
        <v>282</v>
      </c>
      <c r="Q62" s="365"/>
      <c r="R62" s="171"/>
      <c r="S62" s="171"/>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7"/>
      <c r="BO62" s="251"/>
      <c r="BP62" s="250"/>
      <c r="BQ62" s="250"/>
      <c r="BR62" s="250"/>
      <c r="BS62" s="250"/>
      <c r="BT62" s="250"/>
      <c r="BU62" s="250"/>
      <c r="BY62" s="250"/>
    </row>
    <row r="63" spans="3:78" ht="11.25" customHeight="1">
      <c r="C63" s="97" t="s">
        <v>1240</v>
      </c>
      <c r="D63" s="366" t="s">
        <v>119</v>
      </c>
      <c r="E63" s="369" t="s">
        <v>199</v>
      </c>
      <c r="F63" s="405" t="s">
        <v>210</v>
      </c>
      <c r="G63" s="375" t="s">
        <v>1283</v>
      </c>
      <c r="H63" s="378" t="s">
        <v>715</v>
      </c>
      <c r="I63" s="381" t="s">
        <v>715</v>
      </c>
      <c r="J63" s="381" t="s">
        <v>716</v>
      </c>
      <c r="K63" s="384">
        <v>1</v>
      </c>
      <c r="L63" s="387" t="s">
        <v>3</v>
      </c>
      <c r="M63" s="390">
        <v>0</v>
      </c>
      <c r="N63" s="163"/>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2"/>
      <c r="BO63" s="251"/>
      <c r="BP63" s="250"/>
      <c r="BQ63" s="250"/>
      <c r="BR63" s="250"/>
      <c r="BS63" s="250"/>
      <c r="BT63" s="250"/>
      <c r="BU63" s="250"/>
      <c r="BY63" s="250"/>
    </row>
    <row r="64" spans="3:78" ht="11.25" customHeight="1">
      <c r="C64" s="306"/>
      <c r="D64" s="367"/>
      <c r="E64" s="370"/>
      <c r="F64" s="406"/>
      <c r="G64" s="376"/>
      <c r="H64" s="379"/>
      <c r="I64" s="382"/>
      <c r="J64" s="382"/>
      <c r="K64" s="385"/>
      <c r="L64" s="388"/>
      <c r="M64" s="391"/>
      <c r="N64" s="393"/>
      <c r="O64" s="396">
        <v>1</v>
      </c>
      <c r="P64" s="399" t="s">
        <v>18</v>
      </c>
      <c r="Q64" s="419" t="s">
        <v>1267</v>
      </c>
      <c r="R64" s="361" t="s">
        <v>1263</v>
      </c>
      <c r="S64" s="361" t="s">
        <v>715</v>
      </c>
      <c r="T64" s="361" t="s">
        <v>715</v>
      </c>
      <c r="U64" s="361" t="s">
        <v>716</v>
      </c>
      <c r="V64" s="361" t="s">
        <v>1259</v>
      </c>
      <c r="W64" s="361" t="s">
        <v>1260</v>
      </c>
      <c r="X64" s="361" t="s">
        <v>1268</v>
      </c>
      <c r="Y64" s="361" t="s">
        <v>1269</v>
      </c>
      <c r="Z64" s="361" t="s">
        <v>715</v>
      </c>
      <c r="AA64" s="361" t="s">
        <v>715</v>
      </c>
      <c r="AB64" s="361" t="s">
        <v>716</v>
      </c>
      <c r="AC64" s="361" t="s">
        <v>1259</v>
      </c>
      <c r="AD64" s="361" t="s">
        <v>1260</v>
      </c>
      <c r="AE64" s="209"/>
      <c r="AF64" s="220">
        <v>0</v>
      </c>
      <c r="AG64" s="219" t="s">
        <v>308</v>
      </c>
      <c r="AH64" s="219"/>
      <c r="AI64" s="219"/>
      <c r="AJ64" s="219"/>
      <c r="AK64" s="219"/>
      <c r="AL64" s="219"/>
      <c r="AM64" s="219"/>
      <c r="AN64" s="219"/>
      <c r="AO64" s="219"/>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5"/>
      <c r="BO64" s="251"/>
      <c r="BP64" s="364" t="s">
        <v>1256</v>
      </c>
      <c r="BQ64" s="364" t="s">
        <v>1256</v>
      </c>
      <c r="BR64" s="364" t="s">
        <v>118</v>
      </c>
      <c r="BS64" s="250"/>
      <c r="BT64" s="364" t="s">
        <v>462</v>
      </c>
      <c r="BU64" s="364" t="s">
        <v>463</v>
      </c>
      <c r="BV64" s="364" t="s">
        <v>435</v>
      </c>
      <c r="BW64" s="364" t="s">
        <v>154</v>
      </c>
      <c r="BX64" s="364" t="s">
        <v>268</v>
      </c>
      <c r="BY64" s="250"/>
    </row>
    <row r="65" spans="3:78" ht="14.25">
      <c r="C65" s="306"/>
      <c r="D65" s="367"/>
      <c r="E65" s="370"/>
      <c r="F65" s="406"/>
      <c r="G65" s="376"/>
      <c r="H65" s="379"/>
      <c r="I65" s="382"/>
      <c r="J65" s="382"/>
      <c r="K65" s="385"/>
      <c r="L65" s="388"/>
      <c r="M65" s="391"/>
      <c r="N65" s="394"/>
      <c r="O65" s="397"/>
      <c r="P65" s="400"/>
      <c r="Q65" s="403"/>
      <c r="R65" s="362"/>
      <c r="S65" s="362"/>
      <c r="T65" s="362"/>
      <c r="U65" s="362"/>
      <c r="V65" s="362"/>
      <c r="W65" s="362"/>
      <c r="X65" s="362"/>
      <c r="Y65" s="362"/>
      <c r="Z65" s="362"/>
      <c r="AA65" s="362"/>
      <c r="AB65" s="362"/>
      <c r="AC65" s="362"/>
      <c r="AD65" s="362"/>
      <c r="AE65" s="193"/>
      <c r="AF65" s="217" t="s">
        <v>268</v>
      </c>
      <c r="AG65" s="158" t="s">
        <v>221</v>
      </c>
      <c r="AH65" s="300" t="s">
        <v>19</v>
      </c>
      <c r="AI65" s="301" t="s">
        <v>154</v>
      </c>
      <c r="AJ65" s="221"/>
      <c r="AK65" s="221"/>
      <c r="AL65" s="221"/>
      <c r="AM65" s="221"/>
      <c r="AN65" s="221"/>
      <c r="AO65" s="221"/>
      <c r="AP65" s="302" t="s">
        <v>19</v>
      </c>
      <c r="AQ65" s="195">
        <f>SUM(AT65,AW65,AZ65,BC65,BF65,BI65,BL65)</f>
        <v>28065.355069539644</v>
      </c>
      <c r="AR65" s="197">
        <f>SUM(AT65,AX65,BA65,BD65,BG65,BJ65,BM65)</f>
        <v>0</v>
      </c>
      <c r="AS65" s="195">
        <f>AQ65-AR65</f>
        <v>28065.355069539644</v>
      </c>
      <c r="AT65" s="312"/>
      <c r="AU65" s="312"/>
      <c r="AV65" s="244"/>
      <c r="AW65" s="159">
        <v>28065.355069539644</v>
      </c>
      <c r="AX65" s="312"/>
      <c r="AY65" s="194">
        <f>AW65-AX65</f>
        <v>28065.355069539644</v>
      </c>
      <c r="AZ65" s="160"/>
      <c r="BA65" s="312"/>
      <c r="BB65" s="194">
        <f>AZ65-BA65</f>
        <v>0</v>
      </c>
      <c r="BC65" s="159"/>
      <c r="BD65" s="312"/>
      <c r="BE65" s="194">
        <f>BC65-BD65</f>
        <v>0</v>
      </c>
      <c r="BF65" s="159"/>
      <c r="BG65" s="244"/>
      <c r="BH65" s="194">
        <f>BF65-BG65</f>
        <v>0</v>
      </c>
      <c r="BI65" s="159"/>
      <c r="BJ65" s="244"/>
      <c r="BK65" s="194">
        <f>BI65-BJ65</f>
        <v>0</v>
      </c>
      <c r="BL65" s="312"/>
      <c r="BM65" s="312"/>
      <c r="BN65" s="195">
        <f>BL65-BM65</f>
        <v>0</v>
      </c>
      <c r="BO65" s="251">
        <v>0</v>
      </c>
      <c r="BP65" s="364"/>
      <c r="BQ65" s="364"/>
      <c r="BR65" s="364"/>
      <c r="BS65" s="249" t="str">
        <f>AG65 &amp; BO65</f>
        <v>Амортизационные отчисления0</v>
      </c>
      <c r="BT65" s="364"/>
      <c r="BU65" s="364"/>
      <c r="BV65" s="364"/>
      <c r="BW65" s="364"/>
      <c r="BX65" s="364"/>
      <c r="BY65" s="249" t="str">
        <f>AG65&amp;AH65</f>
        <v>Амортизационные отчислениянет</v>
      </c>
      <c r="BZ65" s="250"/>
    </row>
    <row r="66" spans="3:78" ht="14.25">
      <c r="C66" s="97"/>
      <c r="D66" s="367"/>
      <c r="E66" s="370"/>
      <c r="F66" s="406"/>
      <c r="G66" s="376"/>
      <c r="H66" s="379"/>
      <c r="I66" s="382"/>
      <c r="J66" s="382"/>
      <c r="K66" s="385"/>
      <c r="L66" s="388"/>
      <c r="M66" s="391"/>
      <c r="N66" s="394"/>
      <c r="O66" s="397"/>
      <c r="P66" s="400"/>
      <c r="Q66" s="403"/>
      <c r="R66" s="362"/>
      <c r="S66" s="362"/>
      <c r="T66" s="362"/>
      <c r="U66" s="362"/>
      <c r="V66" s="362"/>
      <c r="W66" s="362"/>
      <c r="X66" s="362"/>
      <c r="Y66" s="362"/>
      <c r="Z66" s="362"/>
      <c r="AA66" s="362"/>
      <c r="AB66" s="362"/>
      <c r="AC66" s="362"/>
      <c r="AD66" s="362"/>
      <c r="AE66" s="322" t="s">
        <v>1240</v>
      </c>
      <c r="AF66" s="217" t="s">
        <v>118</v>
      </c>
      <c r="AG66" s="196" t="s">
        <v>223</v>
      </c>
      <c r="AH66" s="302" t="s">
        <v>19</v>
      </c>
      <c r="AI66" s="301" t="s">
        <v>154</v>
      </c>
      <c r="AJ66" s="221"/>
      <c r="AK66" s="221"/>
      <c r="AL66" s="221"/>
      <c r="AM66" s="221"/>
      <c r="AN66" s="221"/>
      <c r="AO66" s="221"/>
      <c r="AP66" s="302" t="s">
        <v>19</v>
      </c>
      <c r="AQ66" s="195">
        <f>SUM(AT66,AW66,AZ66,BC66,BF66,BI66,BL66)</f>
        <v>5613.0710139079565</v>
      </c>
      <c r="AR66" s="197">
        <f>SUM(AT66,AX66,BA66,BD66,BG66,BJ66,BM66)</f>
        <v>0</v>
      </c>
      <c r="AS66" s="195">
        <f>AQ66-AR66</f>
        <v>5613.0710139079565</v>
      </c>
      <c r="AT66" s="315"/>
      <c r="AU66" s="315"/>
      <c r="AV66" s="241"/>
      <c r="AW66" s="198">
        <f>33678.4260834476-AW65</f>
        <v>5613.0710139079565</v>
      </c>
      <c r="AX66" s="313"/>
      <c r="AY66" s="199">
        <f>AW66-AX66</f>
        <v>5613.0710139079565</v>
      </c>
      <c r="AZ66" s="173"/>
      <c r="BA66" s="313"/>
      <c r="BB66" s="199">
        <f>AZ66-BA66</f>
        <v>0</v>
      </c>
      <c r="BC66" s="198"/>
      <c r="BD66" s="313"/>
      <c r="BE66" s="199">
        <f>BC66-BD66</f>
        <v>0</v>
      </c>
      <c r="BF66" s="198"/>
      <c r="BG66" s="241"/>
      <c r="BH66" s="199">
        <f>BF66-BG66</f>
        <v>0</v>
      </c>
      <c r="BI66" s="198"/>
      <c r="BJ66" s="241"/>
      <c r="BK66" s="199">
        <f>BI66-BJ66</f>
        <v>0</v>
      </c>
      <c r="BL66" s="313"/>
      <c r="BM66" s="313"/>
      <c r="BN66" s="195">
        <f>BL66-BM66</f>
        <v>0</v>
      </c>
      <c r="BO66" s="251">
        <v>0</v>
      </c>
      <c r="BP66" s="364"/>
      <c r="BQ66" s="364"/>
      <c r="BR66" s="364"/>
      <c r="BS66" s="249" t="str">
        <f>AG66 &amp; BO66</f>
        <v>Прочие собственные средства0</v>
      </c>
      <c r="BT66" s="364"/>
      <c r="BU66" s="364"/>
      <c r="BV66" s="364"/>
      <c r="BW66" s="364"/>
      <c r="BX66" s="364"/>
      <c r="BY66" s="249" t="str">
        <f>AG66&amp;AH66</f>
        <v>Прочие собственные средстванет</v>
      </c>
      <c r="BZ66" s="250"/>
    </row>
    <row r="67" spans="3:78" ht="15" customHeight="1">
      <c r="C67" s="306"/>
      <c r="D67" s="367"/>
      <c r="E67" s="370"/>
      <c r="F67" s="406"/>
      <c r="G67" s="376"/>
      <c r="H67" s="379"/>
      <c r="I67" s="382"/>
      <c r="J67" s="382"/>
      <c r="K67" s="385"/>
      <c r="L67" s="388"/>
      <c r="M67" s="391"/>
      <c r="N67" s="395"/>
      <c r="O67" s="398"/>
      <c r="P67" s="401"/>
      <c r="Q67" s="404"/>
      <c r="R67" s="363"/>
      <c r="S67" s="363"/>
      <c r="T67" s="363"/>
      <c r="U67" s="363"/>
      <c r="V67" s="363"/>
      <c r="W67" s="363"/>
      <c r="X67" s="363"/>
      <c r="Y67" s="363"/>
      <c r="Z67" s="363"/>
      <c r="AA67" s="363"/>
      <c r="AB67" s="363"/>
      <c r="AC67" s="363"/>
      <c r="AD67" s="363"/>
      <c r="AE67" s="279" t="s">
        <v>379</v>
      </c>
      <c r="AF67" s="203"/>
      <c r="AG67" s="223" t="s">
        <v>24</v>
      </c>
      <c r="AH67" s="223"/>
      <c r="AI67" s="223"/>
      <c r="AJ67" s="223"/>
      <c r="AK67" s="223"/>
      <c r="AL67" s="223"/>
      <c r="AM67" s="223"/>
      <c r="AN67" s="223"/>
      <c r="AO67" s="223"/>
      <c r="AP67" s="168"/>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70"/>
      <c r="BO67" s="251"/>
      <c r="BP67" s="364"/>
      <c r="BQ67" s="364"/>
      <c r="BR67" s="364"/>
      <c r="BS67" s="250"/>
      <c r="BT67" s="364"/>
      <c r="BU67" s="364"/>
      <c r="BV67" s="364"/>
      <c r="BW67" s="364"/>
      <c r="BX67" s="364"/>
      <c r="BY67" s="250"/>
    </row>
    <row r="68" spans="3:78" ht="15" customHeight="1" thickBot="1">
      <c r="C68" s="307"/>
      <c r="D68" s="368"/>
      <c r="E68" s="371"/>
      <c r="F68" s="407"/>
      <c r="G68" s="377"/>
      <c r="H68" s="380"/>
      <c r="I68" s="383"/>
      <c r="J68" s="383"/>
      <c r="K68" s="386"/>
      <c r="L68" s="389"/>
      <c r="M68" s="392"/>
      <c r="N68" s="280" t="s">
        <v>380</v>
      </c>
      <c r="O68" s="212"/>
      <c r="P68" s="365" t="s">
        <v>282</v>
      </c>
      <c r="Q68" s="365"/>
      <c r="R68" s="171"/>
      <c r="S68" s="171"/>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7"/>
      <c r="BO68" s="251"/>
      <c r="BP68" s="250"/>
      <c r="BQ68" s="250"/>
      <c r="BR68" s="250"/>
      <c r="BS68" s="250"/>
      <c r="BT68" s="250"/>
      <c r="BU68" s="250"/>
      <c r="BY68" s="250"/>
    </row>
    <row r="69" spans="3:78" ht="11.25" customHeight="1">
      <c r="C69" s="97" t="s">
        <v>1240</v>
      </c>
      <c r="D69" s="366" t="s">
        <v>120</v>
      </c>
      <c r="E69" s="369" t="s">
        <v>199</v>
      </c>
      <c r="F69" s="405" t="s">
        <v>210</v>
      </c>
      <c r="G69" s="375" t="s">
        <v>1284</v>
      </c>
      <c r="H69" s="378" t="s">
        <v>715</v>
      </c>
      <c r="I69" s="381" t="s">
        <v>715</v>
      </c>
      <c r="J69" s="381" t="s">
        <v>716</v>
      </c>
      <c r="K69" s="384">
        <v>2</v>
      </c>
      <c r="L69" s="387" t="s">
        <v>5</v>
      </c>
      <c r="M69" s="390">
        <v>0</v>
      </c>
      <c r="N69" s="163"/>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2"/>
      <c r="BO69" s="251"/>
      <c r="BP69" s="250"/>
      <c r="BQ69" s="250"/>
      <c r="BR69" s="250"/>
      <c r="BS69" s="250"/>
      <c r="BT69" s="250"/>
      <c r="BU69" s="250"/>
      <c r="BY69" s="250"/>
    </row>
    <row r="70" spans="3:78" ht="11.25" customHeight="1">
      <c r="C70" s="306"/>
      <c r="D70" s="367"/>
      <c r="E70" s="370"/>
      <c r="F70" s="406"/>
      <c r="G70" s="376"/>
      <c r="H70" s="379"/>
      <c r="I70" s="382"/>
      <c r="J70" s="382"/>
      <c r="K70" s="385"/>
      <c r="L70" s="388"/>
      <c r="M70" s="391"/>
      <c r="N70" s="393"/>
      <c r="O70" s="396">
        <v>1</v>
      </c>
      <c r="P70" s="399" t="s">
        <v>18</v>
      </c>
      <c r="Q70" s="419" t="s">
        <v>1267</v>
      </c>
      <c r="R70" s="361" t="s">
        <v>1263</v>
      </c>
      <c r="S70" s="361" t="s">
        <v>715</v>
      </c>
      <c r="T70" s="361" t="s">
        <v>715</v>
      </c>
      <c r="U70" s="361" t="s">
        <v>716</v>
      </c>
      <c r="V70" s="361" t="s">
        <v>1259</v>
      </c>
      <c r="W70" s="361" t="s">
        <v>1260</v>
      </c>
      <c r="X70" s="361" t="s">
        <v>1268</v>
      </c>
      <c r="Y70" s="361" t="s">
        <v>1269</v>
      </c>
      <c r="Z70" s="361" t="s">
        <v>715</v>
      </c>
      <c r="AA70" s="361" t="s">
        <v>715</v>
      </c>
      <c r="AB70" s="361" t="s">
        <v>716</v>
      </c>
      <c r="AC70" s="361" t="s">
        <v>1259</v>
      </c>
      <c r="AD70" s="361" t="s">
        <v>1260</v>
      </c>
      <c r="AE70" s="209"/>
      <c r="AF70" s="220">
        <v>0</v>
      </c>
      <c r="AG70" s="219" t="s">
        <v>308</v>
      </c>
      <c r="AH70" s="219"/>
      <c r="AI70" s="219"/>
      <c r="AJ70" s="219"/>
      <c r="AK70" s="219"/>
      <c r="AL70" s="219"/>
      <c r="AM70" s="219"/>
      <c r="AN70" s="219"/>
      <c r="AO70" s="219"/>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5"/>
      <c r="BO70" s="251"/>
      <c r="BP70" s="364" t="s">
        <v>1256</v>
      </c>
      <c r="BQ70" s="364" t="s">
        <v>1256</v>
      </c>
      <c r="BR70" s="364" t="s">
        <v>118</v>
      </c>
      <c r="BS70" s="250"/>
      <c r="BT70" s="364" t="s">
        <v>462</v>
      </c>
      <c r="BU70" s="364" t="s">
        <v>463</v>
      </c>
      <c r="BV70" s="364" t="s">
        <v>435</v>
      </c>
      <c r="BW70" s="364" t="s">
        <v>154</v>
      </c>
      <c r="BX70" s="364" t="s">
        <v>268</v>
      </c>
      <c r="BY70" s="250"/>
    </row>
    <row r="71" spans="3:78" ht="14.25">
      <c r="C71" s="306"/>
      <c r="D71" s="367"/>
      <c r="E71" s="370"/>
      <c r="F71" s="406"/>
      <c r="G71" s="376"/>
      <c r="H71" s="379"/>
      <c r="I71" s="382"/>
      <c r="J71" s="382"/>
      <c r="K71" s="385"/>
      <c r="L71" s="388"/>
      <c r="M71" s="391"/>
      <c r="N71" s="394"/>
      <c r="O71" s="397"/>
      <c r="P71" s="400"/>
      <c r="Q71" s="403"/>
      <c r="R71" s="362"/>
      <c r="S71" s="362"/>
      <c r="T71" s="362"/>
      <c r="U71" s="362"/>
      <c r="V71" s="362"/>
      <c r="W71" s="362"/>
      <c r="X71" s="362"/>
      <c r="Y71" s="362"/>
      <c r="Z71" s="362"/>
      <c r="AA71" s="362"/>
      <c r="AB71" s="362"/>
      <c r="AC71" s="362"/>
      <c r="AD71" s="362"/>
      <c r="AE71" s="193"/>
      <c r="AF71" s="217" t="s">
        <v>268</v>
      </c>
      <c r="AG71" s="158" t="s">
        <v>221</v>
      </c>
      <c r="AH71" s="300" t="s">
        <v>19</v>
      </c>
      <c r="AI71" s="301" t="s">
        <v>154</v>
      </c>
      <c r="AJ71" s="221"/>
      <c r="AK71" s="221"/>
      <c r="AL71" s="221"/>
      <c r="AM71" s="221"/>
      <c r="AN71" s="221"/>
      <c r="AO71" s="221"/>
      <c r="AP71" s="302" t="s">
        <v>19</v>
      </c>
      <c r="AQ71" s="195">
        <f>SUM(AT71,AW71,AZ71,BC71,BF71,BI71,BL71)</f>
        <v>7076.7769212226776</v>
      </c>
      <c r="AR71" s="197">
        <f>SUM(AT71,AX71,BA71,BD71,BG71,BJ71,BM71)</f>
        <v>0</v>
      </c>
      <c r="AS71" s="195">
        <f>AQ71-AR71</f>
        <v>7076.7769212226776</v>
      </c>
      <c r="AT71" s="312"/>
      <c r="AU71" s="312"/>
      <c r="AV71" s="244"/>
      <c r="AW71" s="159">
        <v>896.76180944999999</v>
      </c>
      <c r="AX71" s="312"/>
      <c r="AY71" s="194">
        <f>AW71-AX71</f>
        <v>896.76180944999999</v>
      </c>
      <c r="AZ71" s="160"/>
      <c r="BA71" s="312"/>
      <c r="BB71" s="194">
        <f>AZ71-BA71</f>
        <v>0</v>
      </c>
      <c r="BC71" s="159">
        <v>6180.0151117726773</v>
      </c>
      <c r="BD71" s="312"/>
      <c r="BE71" s="194">
        <f>BC71-BD71</f>
        <v>6180.0151117726773</v>
      </c>
      <c r="BF71" s="159"/>
      <c r="BG71" s="244"/>
      <c r="BH71" s="194">
        <f>BF71-BG71</f>
        <v>0</v>
      </c>
      <c r="BI71" s="159"/>
      <c r="BJ71" s="244"/>
      <c r="BK71" s="194">
        <f>BI71-BJ71</f>
        <v>0</v>
      </c>
      <c r="BL71" s="312"/>
      <c r="BM71" s="312"/>
      <c r="BN71" s="195">
        <f>BL71-BM71</f>
        <v>0</v>
      </c>
      <c r="BO71" s="251">
        <v>0</v>
      </c>
      <c r="BP71" s="364"/>
      <c r="BQ71" s="364"/>
      <c r="BR71" s="364"/>
      <c r="BS71" s="249" t="str">
        <f>AG71 &amp; BO71</f>
        <v>Амортизационные отчисления0</v>
      </c>
      <c r="BT71" s="364"/>
      <c r="BU71" s="364"/>
      <c r="BV71" s="364"/>
      <c r="BW71" s="364"/>
      <c r="BX71" s="364"/>
      <c r="BY71" s="249" t="str">
        <f>AG71&amp;AH71</f>
        <v>Амортизационные отчислениянет</v>
      </c>
      <c r="BZ71" s="250"/>
    </row>
    <row r="72" spans="3:78" ht="14.25">
      <c r="C72" s="97"/>
      <c r="D72" s="367"/>
      <c r="E72" s="370"/>
      <c r="F72" s="406"/>
      <c r="G72" s="376"/>
      <c r="H72" s="379"/>
      <c r="I72" s="382"/>
      <c r="J72" s="382"/>
      <c r="K72" s="385"/>
      <c r="L72" s="388"/>
      <c r="M72" s="391"/>
      <c r="N72" s="394"/>
      <c r="O72" s="397"/>
      <c r="P72" s="400"/>
      <c r="Q72" s="403"/>
      <c r="R72" s="362"/>
      <c r="S72" s="362"/>
      <c r="T72" s="362"/>
      <c r="U72" s="362"/>
      <c r="V72" s="362"/>
      <c r="W72" s="362"/>
      <c r="X72" s="362"/>
      <c r="Y72" s="362"/>
      <c r="Z72" s="362"/>
      <c r="AA72" s="362"/>
      <c r="AB72" s="362"/>
      <c r="AC72" s="362"/>
      <c r="AD72" s="362"/>
      <c r="AE72" s="322" t="s">
        <v>1240</v>
      </c>
      <c r="AF72" s="217" t="s">
        <v>118</v>
      </c>
      <c r="AG72" s="196" t="s">
        <v>223</v>
      </c>
      <c r="AH72" s="302" t="s">
        <v>19</v>
      </c>
      <c r="AI72" s="301" t="s">
        <v>154</v>
      </c>
      <c r="AJ72" s="221"/>
      <c r="AK72" s="221"/>
      <c r="AL72" s="221"/>
      <c r="AM72" s="221"/>
      <c r="AN72" s="221"/>
      <c r="AO72" s="221"/>
      <c r="AP72" s="302" t="s">
        <v>19</v>
      </c>
      <c r="AQ72" s="195">
        <f>SUM(AT72,AW72,AZ72,BC72,BF72,BI72,BL72)</f>
        <v>1415.3553842445326</v>
      </c>
      <c r="AR72" s="197">
        <f>SUM(AT72,AX72,BA72,BD72,BG72,BJ72,BM72)</f>
        <v>0</v>
      </c>
      <c r="AS72" s="195">
        <f>AQ72-AR72</f>
        <v>1415.3553842445326</v>
      </c>
      <c r="AT72" s="315"/>
      <c r="AU72" s="315"/>
      <c r="AV72" s="241"/>
      <c r="AW72" s="198">
        <f>1076.11417134-AW71</f>
        <v>179.35236189</v>
      </c>
      <c r="AX72" s="313"/>
      <c r="AY72" s="199">
        <f>AW72-AX72</f>
        <v>179.35236189</v>
      </c>
      <c r="AZ72" s="173"/>
      <c r="BA72" s="313"/>
      <c r="BB72" s="199">
        <f>AZ72-BA72</f>
        <v>0</v>
      </c>
      <c r="BC72" s="198">
        <v>1236.0030223545327</v>
      </c>
      <c r="BD72" s="313"/>
      <c r="BE72" s="199">
        <f>BC72-BD72</f>
        <v>1236.0030223545327</v>
      </c>
      <c r="BF72" s="198"/>
      <c r="BG72" s="241"/>
      <c r="BH72" s="199">
        <f>BF72-BG72</f>
        <v>0</v>
      </c>
      <c r="BI72" s="198"/>
      <c r="BJ72" s="241"/>
      <c r="BK72" s="199">
        <f>BI72-BJ72</f>
        <v>0</v>
      </c>
      <c r="BL72" s="313"/>
      <c r="BM72" s="313"/>
      <c r="BN72" s="195">
        <f>BL72-BM72</f>
        <v>0</v>
      </c>
      <c r="BO72" s="251">
        <v>0</v>
      </c>
      <c r="BP72" s="364"/>
      <c r="BQ72" s="364"/>
      <c r="BR72" s="364"/>
      <c r="BS72" s="249" t="str">
        <f>AG72 &amp; BO72</f>
        <v>Прочие собственные средства0</v>
      </c>
      <c r="BT72" s="364"/>
      <c r="BU72" s="364"/>
      <c r="BV72" s="364"/>
      <c r="BW72" s="364"/>
      <c r="BX72" s="364"/>
      <c r="BY72" s="249" t="str">
        <f>AG72&amp;AH72</f>
        <v>Прочие собственные средстванет</v>
      </c>
      <c r="BZ72" s="250"/>
    </row>
    <row r="73" spans="3:78" ht="15" customHeight="1">
      <c r="C73" s="306"/>
      <c r="D73" s="367"/>
      <c r="E73" s="370"/>
      <c r="F73" s="406"/>
      <c r="G73" s="376"/>
      <c r="H73" s="379"/>
      <c r="I73" s="382"/>
      <c r="J73" s="382"/>
      <c r="K73" s="385"/>
      <c r="L73" s="388"/>
      <c r="M73" s="391"/>
      <c r="N73" s="395"/>
      <c r="O73" s="398"/>
      <c r="P73" s="401"/>
      <c r="Q73" s="404"/>
      <c r="R73" s="363"/>
      <c r="S73" s="363"/>
      <c r="T73" s="363"/>
      <c r="U73" s="363"/>
      <c r="V73" s="363"/>
      <c r="W73" s="363"/>
      <c r="X73" s="363"/>
      <c r="Y73" s="363"/>
      <c r="Z73" s="363"/>
      <c r="AA73" s="363"/>
      <c r="AB73" s="363"/>
      <c r="AC73" s="363"/>
      <c r="AD73" s="363"/>
      <c r="AE73" s="279" t="s">
        <v>379</v>
      </c>
      <c r="AF73" s="203"/>
      <c r="AG73" s="223" t="s">
        <v>24</v>
      </c>
      <c r="AH73" s="223"/>
      <c r="AI73" s="223"/>
      <c r="AJ73" s="223"/>
      <c r="AK73" s="223"/>
      <c r="AL73" s="223"/>
      <c r="AM73" s="223"/>
      <c r="AN73" s="223"/>
      <c r="AO73" s="223"/>
      <c r="AP73" s="168"/>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70"/>
      <c r="BO73" s="251"/>
      <c r="BP73" s="364"/>
      <c r="BQ73" s="364"/>
      <c r="BR73" s="364"/>
      <c r="BS73" s="250"/>
      <c r="BT73" s="364"/>
      <c r="BU73" s="364"/>
      <c r="BV73" s="364"/>
      <c r="BW73" s="364"/>
      <c r="BX73" s="364"/>
      <c r="BY73" s="250"/>
    </row>
    <row r="74" spans="3:78" ht="15" customHeight="1" thickBot="1">
      <c r="C74" s="307"/>
      <c r="D74" s="368"/>
      <c r="E74" s="371"/>
      <c r="F74" s="407"/>
      <c r="G74" s="377"/>
      <c r="H74" s="380"/>
      <c r="I74" s="383"/>
      <c r="J74" s="383"/>
      <c r="K74" s="386"/>
      <c r="L74" s="389"/>
      <c r="M74" s="392"/>
      <c r="N74" s="280" t="s">
        <v>380</v>
      </c>
      <c r="O74" s="212"/>
      <c r="P74" s="365" t="s">
        <v>282</v>
      </c>
      <c r="Q74" s="365"/>
      <c r="R74" s="171"/>
      <c r="S74" s="171"/>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7"/>
      <c r="BO74" s="251"/>
      <c r="BP74" s="250"/>
      <c r="BQ74" s="250"/>
      <c r="BR74" s="250"/>
      <c r="BS74" s="250"/>
      <c r="BT74" s="250"/>
      <c r="BU74" s="250"/>
      <c r="BY74" s="250"/>
    </row>
    <row r="75" spans="3:78" ht="11.25" customHeight="1">
      <c r="C75" s="97" t="s">
        <v>1240</v>
      </c>
      <c r="D75" s="366" t="s">
        <v>344</v>
      </c>
      <c r="E75" s="369" t="s">
        <v>199</v>
      </c>
      <c r="F75" s="405" t="s">
        <v>210</v>
      </c>
      <c r="G75" s="375" t="s">
        <v>1285</v>
      </c>
      <c r="H75" s="378" t="s">
        <v>715</v>
      </c>
      <c r="I75" s="381" t="s">
        <v>715</v>
      </c>
      <c r="J75" s="381" t="s">
        <v>716</v>
      </c>
      <c r="K75" s="384">
        <v>1</v>
      </c>
      <c r="L75" s="387" t="s">
        <v>5</v>
      </c>
      <c r="M75" s="390">
        <v>0</v>
      </c>
      <c r="N75" s="163"/>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2"/>
      <c r="BO75" s="251"/>
      <c r="BP75" s="250"/>
      <c r="BQ75" s="250"/>
      <c r="BR75" s="250"/>
      <c r="BS75" s="250"/>
      <c r="BT75" s="250"/>
      <c r="BU75" s="250"/>
      <c r="BY75" s="250"/>
    </row>
    <row r="76" spans="3:78" ht="11.25" customHeight="1">
      <c r="C76" s="306"/>
      <c r="D76" s="367"/>
      <c r="E76" s="370"/>
      <c r="F76" s="406"/>
      <c r="G76" s="376"/>
      <c r="H76" s="379"/>
      <c r="I76" s="382"/>
      <c r="J76" s="382"/>
      <c r="K76" s="385"/>
      <c r="L76" s="388"/>
      <c r="M76" s="391"/>
      <c r="N76" s="393"/>
      <c r="O76" s="396">
        <v>1</v>
      </c>
      <c r="P76" s="399" t="s">
        <v>18</v>
      </c>
      <c r="Q76" s="419" t="s">
        <v>1267</v>
      </c>
      <c r="R76" s="361" t="s">
        <v>1263</v>
      </c>
      <c r="S76" s="361" t="s">
        <v>715</v>
      </c>
      <c r="T76" s="361" t="s">
        <v>715</v>
      </c>
      <c r="U76" s="361" t="s">
        <v>716</v>
      </c>
      <c r="V76" s="361" t="s">
        <v>1259</v>
      </c>
      <c r="W76" s="361" t="s">
        <v>1260</v>
      </c>
      <c r="X76" s="361" t="s">
        <v>1268</v>
      </c>
      <c r="Y76" s="361" t="s">
        <v>1269</v>
      </c>
      <c r="Z76" s="361" t="s">
        <v>715</v>
      </c>
      <c r="AA76" s="361" t="s">
        <v>715</v>
      </c>
      <c r="AB76" s="361" t="s">
        <v>716</v>
      </c>
      <c r="AC76" s="361" t="s">
        <v>1259</v>
      </c>
      <c r="AD76" s="361" t="s">
        <v>1260</v>
      </c>
      <c r="AE76" s="209"/>
      <c r="AF76" s="220">
        <v>0</v>
      </c>
      <c r="AG76" s="219" t="s">
        <v>308</v>
      </c>
      <c r="AH76" s="219"/>
      <c r="AI76" s="219"/>
      <c r="AJ76" s="219"/>
      <c r="AK76" s="219"/>
      <c r="AL76" s="219"/>
      <c r="AM76" s="219"/>
      <c r="AN76" s="219"/>
      <c r="AO76" s="219"/>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5"/>
      <c r="BO76" s="251"/>
      <c r="BP76" s="364" t="s">
        <v>1256</v>
      </c>
      <c r="BQ76" s="364" t="s">
        <v>1256</v>
      </c>
      <c r="BR76" s="364" t="s">
        <v>118</v>
      </c>
      <c r="BS76" s="250"/>
      <c r="BT76" s="364" t="s">
        <v>462</v>
      </c>
      <c r="BU76" s="364" t="s">
        <v>463</v>
      </c>
      <c r="BV76" s="364" t="s">
        <v>435</v>
      </c>
      <c r="BW76" s="364" t="s">
        <v>154</v>
      </c>
      <c r="BX76" s="364" t="s">
        <v>268</v>
      </c>
      <c r="BY76" s="250"/>
    </row>
    <row r="77" spans="3:78" ht="14.25">
      <c r="C77" s="306"/>
      <c r="D77" s="367"/>
      <c r="E77" s="370"/>
      <c r="F77" s="406"/>
      <c r="G77" s="376"/>
      <c r="H77" s="379"/>
      <c r="I77" s="382"/>
      <c r="J77" s="382"/>
      <c r="K77" s="385"/>
      <c r="L77" s="388"/>
      <c r="M77" s="391"/>
      <c r="N77" s="394"/>
      <c r="O77" s="397"/>
      <c r="P77" s="400"/>
      <c r="Q77" s="403"/>
      <c r="R77" s="362"/>
      <c r="S77" s="362"/>
      <c r="T77" s="362"/>
      <c r="U77" s="362"/>
      <c r="V77" s="362"/>
      <c r="W77" s="362"/>
      <c r="X77" s="362"/>
      <c r="Y77" s="362"/>
      <c r="Z77" s="362"/>
      <c r="AA77" s="362"/>
      <c r="AB77" s="362"/>
      <c r="AC77" s="362"/>
      <c r="AD77" s="362"/>
      <c r="AE77" s="193"/>
      <c r="AF77" s="217" t="s">
        <v>268</v>
      </c>
      <c r="AG77" s="158" t="s">
        <v>221</v>
      </c>
      <c r="AH77" s="300" t="s">
        <v>19</v>
      </c>
      <c r="AI77" s="301" t="s">
        <v>154</v>
      </c>
      <c r="AJ77" s="221"/>
      <c r="AK77" s="221"/>
      <c r="AL77" s="221"/>
      <c r="AM77" s="221"/>
      <c r="AN77" s="221"/>
      <c r="AO77" s="221"/>
      <c r="AP77" s="302" t="s">
        <v>19</v>
      </c>
      <c r="AQ77" s="195">
        <f>SUM(AT77,AW77,AZ77,BC77,BF77,BI77,BL77)</f>
        <v>1517.3933590654428</v>
      </c>
      <c r="AR77" s="197">
        <f>SUM(AT77,AX77,BA77,BD77,BG77,BJ77,BM77)</f>
        <v>0</v>
      </c>
      <c r="AS77" s="195">
        <f>AQ77-AR77</f>
        <v>1517.3933590654428</v>
      </c>
      <c r="AT77" s="312"/>
      <c r="AU77" s="312"/>
      <c r="AV77" s="244"/>
      <c r="AW77" s="159"/>
      <c r="AX77" s="312"/>
      <c r="AY77" s="194">
        <f>AW77-AX77</f>
        <v>0</v>
      </c>
      <c r="AZ77" s="160"/>
      <c r="BA77" s="312"/>
      <c r="BB77" s="194">
        <f>AZ77-BA77</f>
        <v>0</v>
      </c>
      <c r="BC77" s="159">
        <v>1517.3933590654428</v>
      </c>
      <c r="BD77" s="312"/>
      <c r="BE77" s="194">
        <f>BC77-BD77</f>
        <v>1517.3933590654428</v>
      </c>
      <c r="BF77" s="159"/>
      <c r="BG77" s="244"/>
      <c r="BH77" s="194">
        <f>BF77-BG77</f>
        <v>0</v>
      </c>
      <c r="BI77" s="159"/>
      <c r="BJ77" s="244"/>
      <c r="BK77" s="194">
        <f>BI77-BJ77</f>
        <v>0</v>
      </c>
      <c r="BL77" s="312"/>
      <c r="BM77" s="312"/>
      <c r="BN77" s="195">
        <f>BL77-BM77</f>
        <v>0</v>
      </c>
      <c r="BO77" s="251">
        <v>0</v>
      </c>
      <c r="BP77" s="364"/>
      <c r="BQ77" s="364"/>
      <c r="BR77" s="364"/>
      <c r="BS77" s="249" t="str">
        <f>AG77 &amp; BO77</f>
        <v>Амортизационные отчисления0</v>
      </c>
      <c r="BT77" s="364"/>
      <c r="BU77" s="364"/>
      <c r="BV77" s="364"/>
      <c r="BW77" s="364"/>
      <c r="BX77" s="364"/>
      <c r="BY77" s="249" t="str">
        <f>AG77&amp;AH77</f>
        <v>Амортизационные отчислениянет</v>
      </c>
      <c r="BZ77" s="250"/>
    </row>
    <row r="78" spans="3:78" ht="14.25">
      <c r="C78" s="97"/>
      <c r="D78" s="367"/>
      <c r="E78" s="370"/>
      <c r="F78" s="406"/>
      <c r="G78" s="376"/>
      <c r="H78" s="379"/>
      <c r="I78" s="382"/>
      <c r="J78" s="382"/>
      <c r="K78" s="385"/>
      <c r="L78" s="388"/>
      <c r="M78" s="391"/>
      <c r="N78" s="394"/>
      <c r="O78" s="397"/>
      <c r="P78" s="400"/>
      <c r="Q78" s="403"/>
      <c r="R78" s="362"/>
      <c r="S78" s="362"/>
      <c r="T78" s="362"/>
      <c r="U78" s="362"/>
      <c r="V78" s="362"/>
      <c r="W78" s="362"/>
      <c r="X78" s="362"/>
      <c r="Y78" s="362"/>
      <c r="Z78" s="362"/>
      <c r="AA78" s="362"/>
      <c r="AB78" s="362"/>
      <c r="AC78" s="362"/>
      <c r="AD78" s="362"/>
      <c r="AE78" s="322" t="s">
        <v>1240</v>
      </c>
      <c r="AF78" s="217" t="s">
        <v>118</v>
      </c>
      <c r="AG78" s="196" t="s">
        <v>223</v>
      </c>
      <c r="AH78" s="302" t="s">
        <v>19</v>
      </c>
      <c r="AI78" s="301" t="s">
        <v>154</v>
      </c>
      <c r="AJ78" s="221"/>
      <c r="AK78" s="221"/>
      <c r="AL78" s="221"/>
      <c r="AM78" s="221"/>
      <c r="AN78" s="221"/>
      <c r="AO78" s="221"/>
      <c r="AP78" s="302" t="s">
        <v>19</v>
      </c>
      <c r="AQ78" s="195">
        <f>SUM(AT78,AW78,AZ78,BC78,BF78,BI78,BL78)</f>
        <v>303.4786718130872</v>
      </c>
      <c r="AR78" s="197">
        <f>SUM(AT78,AX78,BA78,BD78,BG78,BJ78,BM78)</f>
        <v>0</v>
      </c>
      <c r="AS78" s="195">
        <f>AQ78-AR78</f>
        <v>303.4786718130872</v>
      </c>
      <c r="AT78" s="315"/>
      <c r="AU78" s="315"/>
      <c r="AV78" s="241"/>
      <c r="AW78" s="198"/>
      <c r="AX78" s="313"/>
      <c r="AY78" s="199">
        <f>AW78-AX78</f>
        <v>0</v>
      </c>
      <c r="AZ78" s="173"/>
      <c r="BA78" s="313"/>
      <c r="BB78" s="199">
        <f>AZ78-BA78</f>
        <v>0</v>
      </c>
      <c r="BC78" s="198">
        <f>1820.87203087853-BC77</f>
        <v>303.4786718130872</v>
      </c>
      <c r="BD78" s="313"/>
      <c r="BE78" s="199">
        <f>BC78-BD78</f>
        <v>303.4786718130872</v>
      </c>
      <c r="BF78" s="198"/>
      <c r="BG78" s="241"/>
      <c r="BH78" s="199">
        <f>BF78-BG78</f>
        <v>0</v>
      </c>
      <c r="BI78" s="198"/>
      <c r="BJ78" s="241"/>
      <c r="BK78" s="199">
        <f>BI78-BJ78</f>
        <v>0</v>
      </c>
      <c r="BL78" s="313"/>
      <c r="BM78" s="313"/>
      <c r="BN78" s="195">
        <f>BL78-BM78</f>
        <v>0</v>
      </c>
      <c r="BO78" s="251">
        <v>0</v>
      </c>
      <c r="BP78" s="364"/>
      <c r="BQ78" s="364"/>
      <c r="BR78" s="364"/>
      <c r="BS78" s="249" t="str">
        <f>AG78 &amp; BO78</f>
        <v>Прочие собственные средства0</v>
      </c>
      <c r="BT78" s="364"/>
      <c r="BU78" s="364"/>
      <c r="BV78" s="364"/>
      <c r="BW78" s="364"/>
      <c r="BX78" s="364"/>
      <c r="BY78" s="249" t="str">
        <f>AG78&amp;AH78</f>
        <v>Прочие собственные средстванет</v>
      </c>
      <c r="BZ78" s="250"/>
    </row>
    <row r="79" spans="3:78" ht="15" customHeight="1">
      <c r="C79" s="306"/>
      <c r="D79" s="367"/>
      <c r="E79" s="370"/>
      <c r="F79" s="406"/>
      <c r="G79" s="376"/>
      <c r="H79" s="379"/>
      <c r="I79" s="382"/>
      <c r="J79" s="382"/>
      <c r="K79" s="385"/>
      <c r="L79" s="388"/>
      <c r="M79" s="391"/>
      <c r="N79" s="395"/>
      <c r="O79" s="398"/>
      <c r="P79" s="401"/>
      <c r="Q79" s="404"/>
      <c r="R79" s="363"/>
      <c r="S79" s="363"/>
      <c r="T79" s="363"/>
      <c r="U79" s="363"/>
      <c r="V79" s="363"/>
      <c r="W79" s="363"/>
      <c r="X79" s="363"/>
      <c r="Y79" s="363"/>
      <c r="Z79" s="363"/>
      <c r="AA79" s="363"/>
      <c r="AB79" s="363"/>
      <c r="AC79" s="363"/>
      <c r="AD79" s="363"/>
      <c r="AE79" s="279" t="s">
        <v>379</v>
      </c>
      <c r="AF79" s="203"/>
      <c r="AG79" s="223" t="s">
        <v>24</v>
      </c>
      <c r="AH79" s="223"/>
      <c r="AI79" s="223"/>
      <c r="AJ79" s="223"/>
      <c r="AK79" s="223"/>
      <c r="AL79" s="223"/>
      <c r="AM79" s="223"/>
      <c r="AN79" s="223"/>
      <c r="AO79" s="223"/>
      <c r="AP79" s="168"/>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70"/>
      <c r="BO79" s="251"/>
      <c r="BP79" s="364"/>
      <c r="BQ79" s="364"/>
      <c r="BR79" s="364"/>
      <c r="BS79" s="250"/>
      <c r="BT79" s="364"/>
      <c r="BU79" s="364"/>
      <c r="BV79" s="364"/>
      <c r="BW79" s="364"/>
      <c r="BX79" s="364"/>
      <c r="BY79" s="250"/>
    </row>
    <row r="80" spans="3:78" ht="15" customHeight="1" thickBot="1">
      <c r="C80" s="307"/>
      <c r="D80" s="368"/>
      <c r="E80" s="371"/>
      <c r="F80" s="407"/>
      <c r="G80" s="377"/>
      <c r="H80" s="380"/>
      <c r="I80" s="383"/>
      <c r="J80" s="383"/>
      <c r="K80" s="386"/>
      <c r="L80" s="389"/>
      <c r="M80" s="392"/>
      <c r="N80" s="280" t="s">
        <v>380</v>
      </c>
      <c r="O80" s="212"/>
      <c r="P80" s="365" t="s">
        <v>282</v>
      </c>
      <c r="Q80" s="365"/>
      <c r="R80" s="171"/>
      <c r="S80" s="171"/>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7"/>
      <c r="BO80" s="251"/>
      <c r="BP80" s="250"/>
      <c r="BQ80" s="250"/>
      <c r="BR80" s="250"/>
      <c r="BS80" s="250"/>
      <c r="BT80" s="250"/>
      <c r="BU80" s="250"/>
      <c r="BY80" s="250"/>
    </row>
    <row r="81" spans="3:78" ht="11.25" customHeight="1">
      <c r="C81" s="97" t="s">
        <v>1240</v>
      </c>
      <c r="D81" s="366" t="s">
        <v>358</v>
      </c>
      <c r="E81" s="369" t="s">
        <v>199</v>
      </c>
      <c r="F81" s="405" t="s">
        <v>210</v>
      </c>
      <c r="G81" s="375" t="s">
        <v>1286</v>
      </c>
      <c r="H81" s="378" t="s">
        <v>715</v>
      </c>
      <c r="I81" s="381" t="s">
        <v>715</v>
      </c>
      <c r="J81" s="381" t="s">
        <v>716</v>
      </c>
      <c r="K81" s="384">
        <v>1</v>
      </c>
      <c r="L81" s="387" t="s">
        <v>3</v>
      </c>
      <c r="M81" s="390">
        <v>0</v>
      </c>
      <c r="N81" s="163"/>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2"/>
      <c r="BO81" s="251"/>
      <c r="BP81" s="250"/>
      <c r="BQ81" s="250"/>
      <c r="BR81" s="250"/>
      <c r="BS81" s="250"/>
      <c r="BT81" s="250"/>
      <c r="BU81" s="250"/>
      <c r="BY81" s="250"/>
    </row>
    <row r="82" spans="3:78" ht="11.25" customHeight="1">
      <c r="C82" s="306"/>
      <c r="D82" s="367"/>
      <c r="E82" s="370"/>
      <c r="F82" s="406"/>
      <c r="G82" s="376"/>
      <c r="H82" s="379"/>
      <c r="I82" s="382"/>
      <c r="J82" s="382"/>
      <c r="K82" s="385"/>
      <c r="L82" s="388"/>
      <c r="M82" s="391"/>
      <c r="N82" s="393"/>
      <c r="O82" s="396">
        <v>1</v>
      </c>
      <c r="P82" s="399" t="s">
        <v>18</v>
      </c>
      <c r="Q82" s="419" t="s">
        <v>1262</v>
      </c>
      <c r="R82" s="361" t="s">
        <v>1263</v>
      </c>
      <c r="S82" s="361" t="s">
        <v>715</v>
      </c>
      <c r="T82" s="361" t="s">
        <v>715</v>
      </c>
      <c r="U82" s="361" t="s">
        <v>716</v>
      </c>
      <c r="V82" s="361" t="s">
        <v>1259</v>
      </c>
      <c r="W82" s="361" t="s">
        <v>1260</v>
      </c>
      <c r="X82" s="361" t="s">
        <v>1264</v>
      </c>
      <c r="Y82" s="361" t="s">
        <v>268</v>
      </c>
      <c r="Z82" s="361" t="s">
        <v>715</v>
      </c>
      <c r="AA82" s="361" t="s">
        <v>715</v>
      </c>
      <c r="AB82" s="361" t="s">
        <v>716</v>
      </c>
      <c r="AC82" s="361" t="s">
        <v>1259</v>
      </c>
      <c r="AD82" s="361" t="s">
        <v>1260</v>
      </c>
      <c r="AE82" s="209"/>
      <c r="AF82" s="220">
        <v>0</v>
      </c>
      <c r="AG82" s="219" t="s">
        <v>308</v>
      </c>
      <c r="AH82" s="219"/>
      <c r="AI82" s="219"/>
      <c r="AJ82" s="219"/>
      <c r="AK82" s="219"/>
      <c r="AL82" s="219"/>
      <c r="AM82" s="219"/>
      <c r="AN82" s="219"/>
      <c r="AO82" s="219"/>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5"/>
      <c r="BO82" s="251"/>
      <c r="BP82" s="364" t="s">
        <v>1256</v>
      </c>
      <c r="BQ82" s="364" t="s">
        <v>1256</v>
      </c>
      <c r="BR82" s="364" t="s">
        <v>268</v>
      </c>
      <c r="BS82" s="250"/>
      <c r="BT82" s="364" t="s">
        <v>462</v>
      </c>
      <c r="BU82" s="364" t="s">
        <v>463</v>
      </c>
      <c r="BV82" s="364" t="s">
        <v>435</v>
      </c>
      <c r="BW82" s="364" t="s">
        <v>154</v>
      </c>
      <c r="BX82" s="364" t="s">
        <v>268</v>
      </c>
      <c r="BY82" s="250"/>
    </row>
    <row r="83" spans="3:78" ht="14.25">
      <c r="C83" s="306"/>
      <c r="D83" s="367"/>
      <c r="E83" s="370"/>
      <c r="F83" s="406"/>
      <c r="G83" s="376"/>
      <c r="H83" s="379"/>
      <c r="I83" s="382"/>
      <c r="J83" s="382"/>
      <c r="K83" s="385"/>
      <c r="L83" s="388"/>
      <c r="M83" s="391"/>
      <c r="N83" s="394"/>
      <c r="O83" s="397"/>
      <c r="P83" s="400"/>
      <c r="Q83" s="403"/>
      <c r="R83" s="362"/>
      <c r="S83" s="362"/>
      <c r="T83" s="362"/>
      <c r="U83" s="362"/>
      <c r="V83" s="362"/>
      <c r="W83" s="362"/>
      <c r="X83" s="362"/>
      <c r="Y83" s="362"/>
      <c r="Z83" s="362"/>
      <c r="AA83" s="362"/>
      <c r="AB83" s="362"/>
      <c r="AC83" s="362"/>
      <c r="AD83" s="362"/>
      <c r="AE83" s="193"/>
      <c r="AF83" s="217" t="s">
        <v>268</v>
      </c>
      <c r="AG83" s="158" t="s">
        <v>221</v>
      </c>
      <c r="AH83" s="300" t="s">
        <v>19</v>
      </c>
      <c r="AI83" s="301" t="s">
        <v>154</v>
      </c>
      <c r="AJ83" s="221"/>
      <c r="AK83" s="221"/>
      <c r="AL83" s="221"/>
      <c r="AM83" s="221"/>
      <c r="AN83" s="221"/>
      <c r="AO83" s="221"/>
      <c r="AP83" s="302" t="s">
        <v>19</v>
      </c>
      <c r="AQ83" s="195">
        <f>SUM(AT83,AW83,AZ83,BC83,BF83,BI83,BL83)</f>
        <v>6331.5003118504628</v>
      </c>
      <c r="AR83" s="197">
        <f>SUM(AT83,AX83,BA83,BD83,BG83,BJ83,BM83)</f>
        <v>0</v>
      </c>
      <c r="AS83" s="195">
        <f>AQ83-AR83</f>
        <v>6331.5003118504628</v>
      </c>
      <c r="AT83" s="312"/>
      <c r="AU83" s="312"/>
      <c r="AV83" s="244"/>
      <c r="AW83" s="159">
        <v>6331.5003118504628</v>
      </c>
      <c r="AX83" s="312"/>
      <c r="AY83" s="194">
        <f>AW83-AX83</f>
        <v>6331.5003118504628</v>
      </c>
      <c r="AZ83" s="160"/>
      <c r="BA83" s="312"/>
      <c r="BB83" s="194">
        <f>AZ83-BA83</f>
        <v>0</v>
      </c>
      <c r="BC83" s="159"/>
      <c r="BD83" s="312"/>
      <c r="BE83" s="194">
        <f>BC83-BD83</f>
        <v>0</v>
      </c>
      <c r="BF83" s="159"/>
      <c r="BG83" s="244"/>
      <c r="BH83" s="194">
        <f>BF83-BG83</f>
        <v>0</v>
      </c>
      <c r="BI83" s="159"/>
      <c r="BJ83" s="244"/>
      <c r="BK83" s="194">
        <f>BI83-BJ83</f>
        <v>0</v>
      </c>
      <c r="BL83" s="312"/>
      <c r="BM83" s="312"/>
      <c r="BN83" s="195">
        <f>BL83-BM83</f>
        <v>0</v>
      </c>
      <c r="BO83" s="251">
        <v>0</v>
      </c>
      <c r="BP83" s="364"/>
      <c r="BQ83" s="364"/>
      <c r="BR83" s="364"/>
      <c r="BS83" s="249" t="str">
        <f>AG83 &amp; BO83</f>
        <v>Амортизационные отчисления0</v>
      </c>
      <c r="BT83" s="364"/>
      <c r="BU83" s="364"/>
      <c r="BV83" s="364"/>
      <c r="BW83" s="364"/>
      <c r="BX83" s="364"/>
      <c r="BY83" s="249" t="str">
        <f>AG83&amp;AH83</f>
        <v>Амортизационные отчислениянет</v>
      </c>
      <c r="BZ83" s="250"/>
    </row>
    <row r="84" spans="3:78" ht="14.25">
      <c r="C84" s="97"/>
      <c r="D84" s="367"/>
      <c r="E84" s="370"/>
      <c r="F84" s="406"/>
      <c r="G84" s="376"/>
      <c r="H84" s="379"/>
      <c r="I84" s="382"/>
      <c r="J84" s="382"/>
      <c r="K84" s="385"/>
      <c r="L84" s="388"/>
      <c r="M84" s="391"/>
      <c r="N84" s="394"/>
      <c r="O84" s="397"/>
      <c r="P84" s="400"/>
      <c r="Q84" s="403"/>
      <c r="R84" s="362"/>
      <c r="S84" s="362"/>
      <c r="T84" s="362"/>
      <c r="U84" s="362"/>
      <c r="V84" s="362"/>
      <c r="W84" s="362"/>
      <c r="X84" s="362"/>
      <c r="Y84" s="362"/>
      <c r="Z84" s="362"/>
      <c r="AA84" s="362"/>
      <c r="AB84" s="362"/>
      <c r="AC84" s="362"/>
      <c r="AD84" s="362"/>
      <c r="AE84" s="322" t="s">
        <v>1240</v>
      </c>
      <c r="AF84" s="217" t="s">
        <v>118</v>
      </c>
      <c r="AG84" s="196" t="s">
        <v>223</v>
      </c>
      <c r="AH84" s="302" t="s">
        <v>19</v>
      </c>
      <c r="AI84" s="301" t="s">
        <v>154</v>
      </c>
      <c r="AJ84" s="221"/>
      <c r="AK84" s="221"/>
      <c r="AL84" s="221"/>
      <c r="AM84" s="221"/>
      <c r="AN84" s="221"/>
      <c r="AO84" s="221"/>
      <c r="AP84" s="302" t="s">
        <v>19</v>
      </c>
      <c r="AQ84" s="195">
        <f>SUM(AT84,AW84,AZ84,BC84,BF84,BI84,BL84)</f>
        <v>1266.3000623700873</v>
      </c>
      <c r="AR84" s="197">
        <f>SUM(AT84,AX84,BA84,BD84,BG84,BJ84,BM84)</f>
        <v>0</v>
      </c>
      <c r="AS84" s="195">
        <f>AQ84-AR84</f>
        <v>1266.3000623700873</v>
      </c>
      <c r="AT84" s="315"/>
      <c r="AU84" s="315"/>
      <c r="AV84" s="241"/>
      <c r="AW84" s="198">
        <f>7597.80037422055-AW83</f>
        <v>1266.3000623700873</v>
      </c>
      <c r="AX84" s="313"/>
      <c r="AY84" s="199">
        <f>AW84-AX84</f>
        <v>1266.3000623700873</v>
      </c>
      <c r="AZ84" s="173"/>
      <c r="BA84" s="313"/>
      <c r="BB84" s="199">
        <f>AZ84-BA84</f>
        <v>0</v>
      </c>
      <c r="BC84" s="198"/>
      <c r="BD84" s="313"/>
      <c r="BE84" s="199">
        <f>BC84-BD84</f>
        <v>0</v>
      </c>
      <c r="BF84" s="198"/>
      <c r="BG84" s="241"/>
      <c r="BH84" s="199">
        <f>BF84-BG84</f>
        <v>0</v>
      </c>
      <c r="BI84" s="198"/>
      <c r="BJ84" s="241"/>
      <c r="BK84" s="199">
        <f>BI84-BJ84</f>
        <v>0</v>
      </c>
      <c r="BL84" s="313"/>
      <c r="BM84" s="313"/>
      <c r="BN84" s="195">
        <f>BL84-BM84</f>
        <v>0</v>
      </c>
      <c r="BO84" s="251">
        <v>0</v>
      </c>
      <c r="BP84" s="364"/>
      <c r="BQ84" s="364"/>
      <c r="BR84" s="364"/>
      <c r="BS84" s="249" t="str">
        <f>AG84 &amp; BO84</f>
        <v>Прочие собственные средства0</v>
      </c>
      <c r="BT84" s="364"/>
      <c r="BU84" s="364"/>
      <c r="BV84" s="364"/>
      <c r="BW84" s="364"/>
      <c r="BX84" s="364"/>
      <c r="BY84" s="249" t="str">
        <f>AG84&amp;AH84</f>
        <v>Прочие собственные средстванет</v>
      </c>
      <c r="BZ84" s="250"/>
    </row>
    <row r="85" spans="3:78" ht="15" customHeight="1">
      <c r="C85" s="306"/>
      <c r="D85" s="367"/>
      <c r="E85" s="370"/>
      <c r="F85" s="406"/>
      <c r="G85" s="376"/>
      <c r="H85" s="379"/>
      <c r="I85" s="382"/>
      <c r="J85" s="382"/>
      <c r="K85" s="385"/>
      <c r="L85" s="388"/>
      <c r="M85" s="391"/>
      <c r="N85" s="395"/>
      <c r="O85" s="398"/>
      <c r="P85" s="401"/>
      <c r="Q85" s="404"/>
      <c r="R85" s="363"/>
      <c r="S85" s="363"/>
      <c r="T85" s="363"/>
      <c r="U85" s="363"/>
      <c r="V85" s="363"/>
      <c r="W85" s="363"/>
      <c r="X85" s="363"/>
      <c r="Y85" s="363"/>
      <c r="Z85" s="363"/>
      <c r="AA85" s="363"/>
      <c r="AB85" s="363"/>
      <c r="AC85" s="363"/>
      <c r="AD85" s="363"/>
      <c r="AE85" s="279" t="s">
        <v>379</v>
      </c>
      <c r="AF85" s="203"/>
      <c r="AG85" s="223" t="s">
        <v>24</v>
      </c>
      <c r="AH85" s="223"/>
      <c r="AI85" s="223"/>
      <c r="AJ85" s="223"/>
      <c r="AK85" s="223"/>
      <c r="AL85" s="223"/>
      <c r="AM85" s="223"/>
      <c r="AN85" s="223"/>
      <c r="AO85" s="223"/>
      <c r="AP85" s="168"/>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70"/>
      <c r="BO85" s="251"/>
      <c r="BP85" s="364"/>
      <c r="BQ85" s="364"/>
      <c r="BR85" s="364"/>
      <c r="BS85" s="250"/>
      <c r="BT85" s="364"/>
      <c r="BU85" s="364"/>
      <c r="BV85" s="364"/>
      <c r="BW85" s="364"/>
      <c r="BX85" s="364"/>
      <c r="BY85" s="250"/>
    </row>
    <row r="86" spans="3:78" ht="15" customHeight="1" thickBot="1">
      <c r="C86" s="307"/>
      <c r="D86" s="368"/>
      <c r="E86" s="371"/>
      <c r="F86" s="407"/>
      <c r="G86" s="377"/>
      <c r="H86" s="380"/>
      <c r="I86" s="383"/>
      <c r="J86" s="383"/>
      <c r="K86" s="386"/>
      <c r="L86" s="389"/>
      <c r="M86" s="392"/>
      <c r="N86" s="280" t="s">
        <v>380</v>
      </c>
      <c r="O86" s="212"/>
      <c r="P86" s="365" t="s">
        <v>282</v>
      </c>
      <c r="Q86" s="365"/>
      <c r="R86" s="171"/>
      <c r="S86" s="171"/>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7"/>
      <c r="BO86" s="251"/>
      <c r="BP86" s="250"/>
      <c r="BQ86" s="250"/>
      <c r="BR86" s="250"/>
      <c r="BS86" s="250"/>
      <c r="BT86" s="250"/>
      <c r="BU86" s="250"/>
      <c r="BY86" s="250"/>
    </row>
    <row r="87" spans="3:78" ht="11.25" customHeight="1">
      <c r="C87" s="97" t="s">
        <v>1240</v>
      </c>
      <c r="D87" s="366" t="s">
        <v>359</v>
      </c>
      <c r="E87" s="369" t="s">
        <v>199</v>
      </c>
      <c r="F87" s="405" t="s">
        <v>210</v>
      </c>
      <c r="G87" s="375" t="s">
        <v>1287</v>
      </c>
      <c r="H87" s="378" t="s">
        <v>715</v>
      </c>
      <c r="I87" s="381" t="s">
        <v>715</v>
      </c>
      <c r="J87" s="381" t="s">
        <v>716</v>
      </c>
      <c r="K87" s="384">
        <v>1</v>
      </c>
      <c r="L87" s="387" t="s">
        <v>5</v>
      </c>
      <c r="M87" s="390">
        <v>0</v>
      </c>
      <c r="N87" s="163"/>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2"/>
      <c r="BO87" s="251"/>
      <c r="BP87" s="250"/>
      <c r="BQ87" s="250"/>
      <c r="BR87" s="250"/>
      <c r="BS87" s="250"/>
      <c r="BT87" s="250"/>
      <c r="BU87" s="250"/>
      <c r="BY87" s="250"/>
    </row>
    <row r="88" spans="3:78" ht="11.25" customHeight="1">
      <c r="C88" s="306"/>
      <c r="D88" s="367"/>
      <c r="E88" s="370"/>
      <c r="F88" s="406"/>
      <c r="G88" s="376"/>
      <c r="H88" s="379"/>
      <c r="I88" s="382"/>
      <c r="J88" s="382"/>
      <c r="K88" s="385"/>
      <c r="L88" s="388"/>
      <c r="M88" s="391"/>
      <c r="N88" s="393"/>
      <c r="O88" s="396">
        <v>1</v>
      </c>
      <c r="P88" s="399" t="s">
        <v>18</v>
      </c>
      <c r="Q88" s="419" t="s">
        <v>1267</v>
      </c>
      <c r="R88" s="361" t="s">
        <v>1263</v>
      </c>
      <c r="S88" s="361" t="s">
        <v>715</v>
      </c>
      <c r="T88" s="361" t="s">
        <v>715</v>
      </c>
      <c r="U88" s="361" t="s">
        <v>716</v>
      </c>
      <c r="V88" s="361" t="s">
        <v>1259</v>
      </c>
      <c r="W88" s="361" t="s">
        <v>1260</v>
      </c>
      <c r="X88" s="361" t="s">
        <v>1268</v>
      </c>
      <c r="Y88" s="361" t="s">
        <v>1269</v>
      </c>
      <c r="Z88" s="361" t="s">
        <v>715</v>
      </c>
      <c r="AA88" s="361" t="s">
        <v>715</v>
      </c>
      <c r="AB88" s="361" t="s">
        <v>716</v>
      </c>
      <c r="AC88" s="361" t="s">
        <v>1259</v>
      </c>
      <c r="AD88" s="361" t="s">
        <v>1260</v>
      </c>
      <c r="AE88" s="209"/>
      <c r="AF88" s="220">
        <v>0</v>
      </c>
      <c r="AG88" s="219" t="s">
        <v>308</v>
      </c>
      <c r="AH88" s="219"/>
      <c r="AI88" s="219"/>
      <c r="AJ88" s="219"/>
      <c r="AK88" s="219"/>
      <c r="AL88" s="219"/>
      <c r="AM88" s="219"/>
      <c r="AN88" s="219"/>
      <c r="AO88" s="219"/>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5"/>
      <c r="BO88" s="251"/>
      <c r="BP88" s="364" t="s">
        <v>1256</v>
      </c>
      <c r="BQ88" s="364" t="s">
        <v>1256</v>
      </c>
      <c r="BR88" s="364" t="s">
        <v>118</v>
      </c>
      <c r="BS88" s="250"/>
      <c r="BT88" s="364" t="s">
        <v>462</v>
      </c>
      <c r="BU88" s="364" t="s">
        <v>463</v>
      </c>
      <c r="BV88" s="364" t="s">
        <v>435</v>
      </c>
      <c r="BW88" s="364" t="s">
        <v>154</v>
      </c>
      <c r="BX88" s="364" t="s">
        <v>268</v>
      </c>
      <c r="BY88" s="250"/>
    </row>
    <row r="89" spans="3:78" ht="14.25">
      <c r="C89" s="306"/>
      <c r="D89" s="367"/>
      <c r="E89" s="370"/>
      <c r="F89" s="406"/>
      <c r="G89" s="376"/>
      <c r="H89" s="379"/>
      <c r="I89" s="382"/>
      <c r="J89" s="382"/>
      <c r="K89" s="385"/>
      <c r="L89" s="388"/>
      <c r="M89" s="391"/>
      <c r="N89" s="394"/>
      <c r="O89" s="397"/>
      <c r="P89" s="400"/>
      <c r="Q89" s="403"/>
      <c r="R89" s="362"/>
      <c r="S89" s="362"/>
      <c r="T89" s="362"/>
      <c r="U89" s="362"/>
      <c r="V89" s="362"/>
      <c r="W89" s="362"/>
      <c r="X89" s="362"/>
      <c r="Y89" s="362"/>
      <c r="Z89" s="362"/>
      <c r="AA89" s="362"/>
      <c r="AB89" s="362"/>
      <c r="AC89" s="362"/>
      <c r="AD89" s="362"/>
      <c r="AE89" s="193"/>
      <c r="AF89" s="217" t="s">
        <v>268</v>
      </c>
      <c r="AG89" s="158" t="s">
        <v>221</v>
      </c>
      <c r="AH89" s="300" t="s">
        <v>19</v>
      </c>
      <c r="AI89" s="301" t="s">
        <v>154</v>
      </c>
      <c r="AJ89" s="221"/>
      <c r="AK89" s="221"/>
      <c r="AL89" s="221"/>
      <c r="AM89" s="221"/>
      <c r="AN89" s="221"/>
      <c r="AO89" s="221"/>
      <c r="AP89" s="302" t="s">
        <v>19</v>
      </c>
      <c r="AQ89" s="195">
        <f>SUM(AT89,AW89,AZ89,BC89,BF89,BI89,BL89)</f>
        <v>1706.8216851902616</v>
      </c>
      <c r="AR89" s="197">
        <f>SUM(AT89,AX89,BA89,BD89,BG89,BJ89,BM89)</f>
        <v>0</v>
      </c>
      <c r="AS89" s="195">
        <f>AQ89-AR89</f>
        <v>1706.8216851902616</v>
      </c>
      <c r="AT89" s="312"/>
      <c r="AU89" s="312"/>
      <c r="AV89" s="244"/>
      <c r="AW89" s="159"/>
      <c r="AX89" s="312"/>
      <c r="AY89" s="194">
        <f>AW89-AX89</f>
        <v>0</v>
      </c>
      <c r="AZ89" s="160"/>
      <c r="BA89" s="312"/>
      <c r="BB89" s="194">
        <f>AZ89-BA89</f>
        <v>0</v>
      </c>
      <c r="BC89" s="159">
        <v>1706.8216851902616</v>
      </c>
      <c r="BD89" s="312"/>
      <c r="BE89" s="194">
        <f>BC89-BD89</f>
        <v>1706.8216851902616</v>
      </c>
      <c r="BF89" s="159"/>
      <c r="BG89" s="244"/>
      <c r="BH89" s="194">
        <f>BF89-BG89</f>
        <v>0</v>
      </c>
      <c r="BI89" s="159"/>
      <c r="BJ89" s="244"/>
      <c r="BK89" s="194">
        <f>BI89-BJ89</f>
        <v>0</v>
      </c>
      <c r="BL89" s="312"/>
      <c r="BM89" s="312"/>
      <c r="BN89" s="195">
        <f>BL89-BM89</f>
        <v>0</v>
      </c>
      <c r="BO89" s="251">
        <v>0</v>
      </c>
      <c r="BP89" s="364"/>
      <c r="BQ89" s="364"/>
      <c r="BR89" s="364"/>
      <c r="BS89" s="249" t="str">
        <f>AG89 &amp; BO89</f>
        <v>Амортизационные отчисления0</v>
      </c>
      <c r="BT89" s="364"/>
      <c r="BU89" s="364"/>
      <c r="BV89" s="364"/>
      <c r="BW89" s="364"/>
      <c r="BX89" s="364"/>
      <c r="BY89" s="249" t="str">
        <f>AG89&amp;AH89</f>
        <v>Амортизационные отчислениянет</v>
      </c>
      <c r="BZ89" s="250"/>
    </row>
    <row r="90" spans="3:78" ht="14.25">
      <c r="C90" s="97"/>
      <c r="D90" s="367"/>
      <c r="E90" s="370"/>
      <c r="F90" s="406"/>
      <c r="G90" s="376"/>
      <c r="H90" s="379"/>
      <c r="I90" s="382"/>
      <c r="J90" s="382"/>
      <c r="K90" s="385"/>
      <c r="L90" s="388"/>
      <c r="M90" s="391"/>
      <c r="N90" s="394"/>
      <c r="O90" s="397"/>
      <c r="P90" s="400"/>
      <c r="Q90" s="403"/>
      <c r="R90" s="362"/>
      <c r="S90" s="362"/>
      <c r="T90" s="362"/>
      <c r="U90" s="362"/>
      <c r="V90" s="362"/>
      <c r="W90" s="362"/>
      <c r="X90" s="362"/>
      <c r="Y90" s="362"/>
      <c r="Z90" s="362"/>
      <c r="AA90" s="362"/>
      <c r="AB90" s="362"/>
      <c r="AC90" s="362"/>
      <c r="AD90" s="362"/>
      <c r="AE90" s="322" t="s">
        <v>1240</v>
      </c>
      <c r="AF90" s="217" t="s">
        <v>118</v>
      </c>
      <c r="AG90" s="196" t="s">
        <v>223</v>
      </c>
      <c r="AH90" s="302" t="s">
        <v>19</v>
      </c>
      <c r="AI90" s="301" t="s">
        <v>154</v>
      </c>
      <c r="AJ90" s="221"/>
      <c r="AK90" s="221"/>
      <c r="AL90" s="221"/>
      <c r="AM90" s="221"/>
      <c r="AN90" s="221"/>
      <c r="AO90" s="221"/>
      <c r="AP90" s="302" t="s">
        <v>19</v>
      </c>
      <c r="AQ90" s="195">
        <f>SUM(AT90,AW90,AZ90,BC90,BF90,BI90,BL90)</f>
        <v>341.36433703804823</v>
      </c>
      <c r="AR90" s="197">
        <f>SUM(AT90,AX90,BA90,BD90,BG90,BJ90,BM90)</f>
        <v>0</v>
      </c>
      <c r="AS90" s="195">
        <f>AQ90-AR90</f>
        <v>341.36433703804823</v>
      </c>
      <c r="AT90" s="315"/>
      <c r="AU90" s="315"/>
      <c r="AV90" s="241"/>
      <c r="AW90" s="198"/>
      <c r="AX90" s="313"/>
      <c r="AY90" s="199">
        <f>AW90-AX90</f>
        <v>0</v>
      </c>
      <c r="AZ90" s="173"/>
      <c r="BA90" s="313"/>
      <c r="BB90" s="199">
        <f>AZ90-BA90</f>
        <v>0</v>
      </c>
      <c r="BC90" s="198">
        <f>2048.18602222831-BC89</f>
        <v>341.36433703804823</v>
      </c>
      <c r="BD90" s="313"/>
      <c r="BE90" s="199">
        <f>BC90-BD90</f>
        <v>341.36433703804823</v>
      </c>
      <c r="BF90" s="198"/>
      <c r="BG90" s="241"/>
      <c r="BH90" s="199">
        <f>BF90-BG90</f>
        <v>0</v>
      </c>
      <c r="BI90" s="198"/>
      <c r="BJ90" s="241"/>
      <c r="BK90" s="199">
        <f>BI90-BJ90</f>
        <v>0</v>
      </c>
      <c r="BL90" s="313"/>
      <c r="BM90" s="313"/>
      <c r="BN90" s="195">
        <f>BL90-BM90</f>
        <v>0</v>
      </c>
      <c r="BO90" s="251">
        <v>0</v>
      </c>
      <c r="BP90" s="364"/>
      <c r="BQ90" s="364"/>
      <c r="BR90" s="364"/>
      <c r="BS90" s="249" t="str">
        <f>AG90 &amp; BO90</f>
        <v>Прочие собственные средства0</v>
      </c>
      <c r="BT90" s="364"/>
      <c r="BU90" s="364"/>
      <c r="BV90" s="364"/>
      <c r="BW90" s="364"/>
      <c r="BX90" s="364"/>
      <c r="BY90" s="249" t="str">
        <f>AG90&amp;AH90</f>
        <v>Прочие собственные средстванет</v>
      </c>
      <c r="BZ90" s="250"/>
    </row>
    <row r="91" spans="3:78" ht="15" customHeight="1">
      <c r="C91" s="306"/>
      <c r="D91" s="367"/>
      <c r="E91" s="370"/>
      <c r="F91" s="406"/>
      <c r="G91" s="376"/>
      <c r="H91" s="379"/>
      <c r="I91" s="382"/>
      <c r="J91" s="382"/>
      <c r="K91" s="385"/>
      <c r="L91" s="388"/>
      <c r="M91" s="391"/>
      <c r="N91" s="395"/>
      <c r="O91" s="398"/>
      <c r="P91" s="401"/>
      <c r="Q91" s="404"/>
      <c r="R91" s="363"/>
      <c r="S91" s="363"/>
      <c r="T91" s="363"/>
      <c r="U91" s="363"/>
      <c r="V91" s="363"/>
      <c r="W91" s="363"/>
      <c r="X91" s="363"/>
      <c r="Y91" s="363"/>
      <c r="Z91" s="363"/>
      <c r="AA91" s="363"/>
      <c r="AB91" s="363"/>
      <c r="AC91" s="363"/>
      <c r="AD91" s="363"/>
      <c r="AE91" s="279" t="s">
        <v>379</v>
      </c>
      <c r="AF91" s="203"/>
      <c r="AG91" s="223" t="s">
        <v>24</v>
      </c>
      <c r="AH91" s="223"/>
      <c r="AI91" s="223"/>
      <c r="AJ91" s="223"/>
      <c r="AK91" s="223"/>
      <c r="AL91" s="223"/>
      <c r="AM91" s="223"/>
      <c r="AN91" s="223"/>
      <c r="AO91" s="223"/>
      <c r="AP91" s="168"/>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70"/>
      <c r="BO91" s="251"/>
      <c r="BP91" s="364"/>
      <c r="BQ91" s="364"/>
      <c r="BR91" s="364"/>
      <c r="BS91" s="250"/>
      <c r="BT91" s="364"/>
      <c r="BU91" s="364"/>
      <c r="BV91" s="364"/>
      <c r="BW91" s="364"/>
      <c r="BX91" s="364"/>
      <c r="BY91" s="250"/>
    </row>
    <row r="92" spans="3:78" ht="15" customHeight="1" thickBot="1">
      <c r="C92" s="307"/>
      <c r="D92" s="368"/>
      <c r="E92" s="371"/>
      <c r="F92" s="407"/>
      <c r="G92" s="377"/>
      <c r="H92" s="380"/>
      <c r="I92" s="383"/>
      <c r="J92" s="383"/>
      <c r="K92" s="386"/>
      <c r="L92" s="389"/>
      <c r="M92" s="392"/>
      <c r="N92" s="280" t="s">
        <v>380</v>
      </c>
      <c r="O92" s="212"/>
      <c r="P92" s="365" t="s">
        <v>282</v>
      </c>
      <c r="Q92" s="365"/>
      <c r="R92" s="171"/>
      <c r="S92" s="171"/>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7"/>
      <c r="BO92" s="251"/>
      <c r="BP92" s="250"/>
      <c r="BQ92" s="250"/>
      <c r="BR92" s="250"/>
      <c r="BS92" s="250"/>
      <c r="BT92" s="250"/>
      <c r="BU92" s="250"/>
      <c r="BY92" s="250"/>
    </row>
    <row r="93" spans="3:78" ht="11.25" customHeight="1">
      <c r="C93" s="97" t="s">
        <v>1240</v>
      </c>
      <c r="D93" s="366" t="s">
        <v>376</v>
      </c>
      <c r="E93" s="369" t="s">
        <v>199</v>
      </c>
      <c r="F93" s="405" t="s">
        <v>210</v>
      </c>
      <c r="G93" s="375" t="s">
        <v>1288</v>
      </c>
      <c r="H93" s="378" t="s">
        <v>715</v>
      </c>
      <c r="I93" s="381" t="s">
        <v>715</v>
      </c>
      <c r="J93" s="381" t="s">
        <v>716</v>
      </c>
      <c r="K93" s="384">
        <v>2</v>
      </c>
      <c r="L93" s="387" t="s">
        <v>4</v>
      </c>
      <c r="M93" s="390">
        <v>0</v>
      </c>
      <c r="N93" s="163"/>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2"/>
      <c r="BO93" s="251"/>
      <c r="BP93" s="250"/>
      <c r="BQ93" s="250"/>
      <c r="BR93" s="250"/>
      <c r="BS93" s="250"/>
      <c r="BT93" s="250"/>
      <c r="BU93" s="250"/>
      <c r="BY93" s="250"/>
    </row>
    <row r="94" spans="3:78" ht="11.25" customHeight="1">
      <c r="C94" s="306"/>
      <c r="D94" s="367"/>
      <c r="E94" s="370"/>
      <c r="F94" s="406"/>
      <c r="G94" s="376"/>
      <c r="H94" s="379"/>
      <c r="I94" s="382"/>
      <c r="J94" s="382"/>
      <c r="K94" s="385"/>
      <c r="L94" s="388"/>
      <c r="M94" s="391"/>
      <c r="N94" s="393"/>
      <c r="O94" s="396">
        <v>1</v>
      </c>
      <c r="P94" s="399" t="s">
        <v>18</v>
      </c>
      <c r="Q94" s="419" t="s">
        <v>1262</v>
      </c>
      <c r="R94" s="361" t="s">
        <v>1263</v>
      </c>
      <c r="S94" s="361" t="s">
        <v>715</v>
      </c>
      <c r="T94" s="361" t="s">
        <v>715</v>
      </c>
      <c r="U94" s="361" t="s">
        <v>716</v>
      </c>
      <c r="V94" s="361" t="s">
        <v>1259</v>
      </c>
      <c r="W94" s="361" t="s">
        <v>1260</v>
      </c>
      <c r="X94" s="361" t="s">
        <v>1264</v>
      </c>
      <c r="Y94" s="361" t="s">
        <v>268</v>
      </c>
      <c r="Z94" s="361" t="s">
        <v>715</v>
      </c>
      <c r="AA94" s="361" t="s">
        <v>715</v>
      </c>
      <c r="AB94" s="361" t="s">
        <v>716</v>
      </c>
      <c r="AC94" s="361" t="s">
        <v>1259</v>
      </c>
      <c r="AD94" s="361" t="s">
        <v>1260</v>
      </c>
      <c r="AE94" s="209"/>
      <c r="AF94" s="220">
        <v>0</v>
      </c>
      <c r="AG94" s="219" t="s">
        <v>308</v>
      </c>
      <c r="AH94" s="219"/>
      <c r="AI94" s="219"/>
      <c r="AJ94" s="219"/>
      <c r="AK94" s="219"/>
      <c r="AL94" s="219"/>
      <c r="AM94" s="219"/>
      <c r="AN94" s="219"/>
      <c r="AO94" s="219"/>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5"/>
      <c r="BO94" s="251"/>
      <c r="BP94" s="364" t="s">
        <v>1256</v>
      </c>
      <c r="BQ94" s="364" t="s">
        <v>1256</v>
      </c>
      <c r="BR94" s="364" t="s">
        <v>268</v>
      </c>
      <c r="BS94" s="250"/>
      <c r="BT94" s="364" t="s">
        <v>462</v>
      </c>
      <c r="BU94" s="364" t="s">
        <v>463</v>
      </c>
      <c r="BV94" s="364" t="s">
        <v>435</v>
      </c>
      <c r="BW94" s="364" t="s">
        <v>154</v>
      </c>
      <c r="BX94" s="364" t="s">
        <v>268</v>
      </c>
      <c r="BY94" s="250"/>
    </row>
    <row r="95" spans="3:78" ht="14.25">
      <c r="C95" s="306"/>
      <c r="D95" s="367"/>
      <c r="E95" s="370"/>
      <c r="F95" s="406"/>
      <c r="G95" s="376"/>
      <c r="H95" s="379"/>
      <c r="I95" s="382"/>
      <c r="J95" s="382"/>
      <c r="K95" s="385"/>
      <c r="L95" s="388"/>
      <c r="M95" s="391"/>
      <c r="N95" s="394"/>
      <c r="O95" s="397"/>
      <c r="P95" s="400"/>
      <c r="Q95" s="403"/>
      <c r="R95" s="362"/>
      <c r="S95" s="362"/>
      <c r="T95" s="362"/>
      <c r="U95" s="362"/>
      <c r="V95" s="362"/>
      <c r="W95" s="362"/>
      <c r="X95" s="362"/>
      <c r="Y95" s="362"/>
      <c r="Z95" s="362"/>
      <c r="AA95" s="362"/>
      <c r="AB95" s="362"/>
      <c r="AC95" s="362"/>
      <c r="AD95" s="362"/>
      <c r="AE95" s="193"/>
      <c r="AF95" s="217" t="s">
        <v>268</v>
      </c>
      <c r="AG95" s="158" t="s">
        <v>221</v>
      </c>
      <c r="AH95" s="300" t="s">
        <v>19</v>
      </c>
      <c r="AI95" s="301" t="s">
        <v>154</v>
      </c>
      <c r="AJ95" s="221"/>
      <c r="AK95" s="221"/>
      <c r="AL95" s="221"/>
      <c r="AM95" s="221"/>
      <c r="AN95" s="221"/>
      <c r="AO95" s="221"/>
      <c r="AP95" s="302" t="s">
        <v>19</v>
      </c>
      <c r="AQ95" s="195">
        <f>SUM(AT95,AW95,AZ95,BC95,BF95,BI95,BL95)</f>
        <v>9191.9638671645316</v>
      </c>
      <c r="AR95" s="197">
        <f>SUM(AT95,AX95,BA95,BD95,BG95,BJ95,BM95)</f>
        <v>0</v>
      </c>
      <c r="AS95" s="195">
        <f>AQ95-AR95</f>
        <v>9191.9638671645316</v>
      </c>
      <c r="AT95" s="312"/>
      <c r="AU95" s="312"/>
      <c r="AV95" s="244"/>
      <c r="AW95" s="159">
        <v>465.19865730000004</v>
      </c>
      <c r="AX95" s="312"/>
      <c r="AY95" s="194">
        <f>AW95-AX95</f>
        <v>465.19865730000004</v>
      </c>
      <c r="AZ95" s="160">
        <v>8726.7652098645322</v>
      </c>
      <c r="BA95" s="312"/>
      <c r="BB95" s="194">
        <f>AZ95-BA95</f>
        <v>8726.7652098645322</v>
      </c>
      <c r="BC95" s="159"/>
      <c r="BD95" s="312"/>
      <c r="BE95" s="194">
        <f>BC95-BD95</f>
        <v>0</v>
      </c>
      <c r="BF95" s="159"/>
      <c r="BG95" s="244"/>
      <c r="BH95" s="194">
        <f>BF95-BG95</f>
        <v>0</v>
      </c>
      <c r="BI95" s="159"/>
      <c r="BJ95" s="244"/>
      <c r="BK95" s="194">
        <f>BI95-BJ95</f>
        <v>0</v>
      </c>
      <c r="BL95" s="312"/>
      <c r="BM95" s="312"/>
      <c r="BN95" s="195">
        <f>BL95-BM95</f>
        <v>0</v>
      </c>
      <c r="BO95" s="251">
        <v>0</v>
      </c>
      <c r="BP95" s="364"/>
      <c r="BQ95" s="364"/>
      <c r="BR95" s="364"/>
      <c r="BS95" s="249" t="str">
        <f>AG95 &amp; BO95</f>
        <v>Амортизационные отчисления0</v>
      </c>
      <c r="BT95" s="364"/>
      <c r="BU95" s="364"/>
      <c r="BV95" s="364"/>
      <c r="BW95" s="364"/>
      <c r="BX95" s="364"/>
      <c r="BY95" s="249" t="str">
        <f>AG95&amp;AH95</f>
        <v>Амортизационные отчислениянет</v>
      </c>
      <c r="BZ95" s="250"/>
    </row>
    <row r="96" spans="3:78" ht="14.25">
      <c r="C96" s="97"/>
      <c r="D96" s="367"/>
      <c r="E96" s="370"/>
      <c r="F96" s="406"/>
      <c r="G96" s="376"/>
      <c r="H96" s="379"/>
      <c r="I96" s="382"/>
      <c r="J96" s="382"/>
      <c r="K96" s="385"/>
      <c r="L96" s="388"/>
      <c r="M96" s="391"/>
      <c r="N96" s="394"/>
      <c r="O96" s="397"/>
      <c r="P96" s="400"/>
      <c r="Q96" s="403"/>
      <c r="R96" s="362"/>
      <c r="S96" s="362"/>
      <c r="T96" s="362"/>
      <c r="U96" s="362"/>
      <c r="V96" s="362"/>
      <c r="W96" s="362"/>
      <c r="X96" s="362"/>
      <c r="Y96" s="362"/>
      <c r="Z96" s="362"/>
      <c r="AA96" s="362"/>
      <c r="AB96" s="362"/>
      <c r="AC96" s="362"/>
      <c r="AD96" s="362"/>
      <c r="AE96" s="322" t="s">
        <v>1240</v>
      </c>
      <c r="AF96" s="217" t="s">
        <v>118</v>
      </c>
      <c r="AG96" s="196" t="s">
        <v>223</v>
      </c>
      <c r="AH96" s="302" t="s">
        <v>19</v>
      </c>
      <c r="AI96" s="301" t="s">
        <v>154</v>
      </c>
      <c r="AJ96" s="221"/>
      <c r="AK96" s="221"/>
      <c r="AL96" s="221"/>
      <c r="AM96" s="221"/>
      <c r="AN96" s="221"/>
      <c r="AO96" s="221"/>
      <c r="AP96" s="302" t="s">
        <v>19</v>
      </c>
      <c r="AQ96" s="195">
        <f>SUM(AT96,AW96,AZ96,BC96,BF96,BI96,BL96)</f>
        <v>1838.3927734328686</v>
      </c>
      <c r="AR96" s="197">
        <f>SUM(AT96,AX96,BA96,BD96,BG96,BJ96,BM96)</f>
        <v>0</v>
      </c>
      <c r="AS96" s="195">
        <f>AQ96-AR96</f>
        <v>1838.3927734328686</v>
      </c>
      <c r="AT96" s="315"/>
      <c r="AU96" s="315"/>
      <c r="AV96" s="241"/>
      <c r="AW96" s="198">
        <f>558.23838876-AW95</f>
        <v>93.039731459999985</v>
      </c>
      <c r="AX96" s="313"/>
      <c r="AY96" s="199">
        <f>AW96-AX96</f>
        <v>93.039731459999985</v>
      </c>
      <c r="AZ96" s="173">
        <f>10472.1182518374-AZ95</f>
        <v>1745.3530419728686</v>
      </c>
      <c r="BA96" s="313"/>
      <c r="BB96" s="199">
        <f>AZ96-BA96</f>
        <v>1745.3530419728686</v>
      </c>
      <c r="BC96" s="198"/>
      <c r="BD96" s="313"/>
      <c r="BE96" s="199">
        <f>BC96-BD96</f>
        <v>0</v>
      </c>
      <c r="BF96" s="198"/>
      <c r="BG96" s="241"/>
      <c r="BH96" s="199">
        <f>BF96-BG96</f>
        <v>0</v>
      </c>
      <c r="BI96" s="198"/>
      <c r="BJ96" s="241"/>
      <c r="BK96" s="199">
        <f>BI96-BJ96</f>
        <v>0</v>
      </c>
      <c r="BL96" s="313"/>
      <c r="BM96" s="313"/>
      <c r="BN96" s="195">
        <f>BL96-BM96</f>
        <v>0</v>
      </c>
      <c r="BO96" s="251">
        <v>0</v>
      </c>
      <c r="BP96" s="364"/>
      <c r="BQ96" s="364"/>
      <c r="BR96" s="364"/>
      <c r="BS96" s="249" t="str">
        <f>AG96 &amp; BO96</f>
        <v>Прочие собственные средства0</v>
      </c>
      <c r="BT96" s="364"/>
      <c r="BU96" s="364"/>
      <c r="BV96" s="364"/>
      <c r="BW96" s="364"/>
      <c r="BX96" s="364"/>
      <c r="BY96" s="249" t="str">
        <f>AG96&amp;AH96</f>
        <v>Прочие собственные средстванет</v>
      </c>
      <c r="BZ96" s="250"/>
    </row>
    <row r="97" spans="3:78" ht="15" customHeight="1">
      <c r="C97" s="306"/>
      <c r="D97" s="367"/>
      <c r="E97" s="370"/>
      <c r="F97" s="406"/>
      <c r="G97" s="376"/>
      <c r="H97" s="379"/>
      <c r="I97" s="382"/>
      <c r="J97" s="382"/>
      <c r="K97" s="385"/>
      <c r="L97" s="388"/>
      <c r="M97" s="391"/>
      <c r="N97" s="395"/>
      <c r="O97" s="398"/>
      <c r="P97" s="401"/>
      <c r="Q97" s="404"/>
      <c r="R97" s="363"/>
      <c r="S97" s="363"/>
      <c r="T97" s="363"/>
      <c r="U97" s="363"/>
      <c r="V97" s="363"/>
      <c r="W97" s="363"/>
      <c r="X97" s="363"/>
      <c r="Y97" s="363"/>
      <c r="Z97" s="363"/>
      <c r="AA97" s="363"/>
      <c r="AB97" s="363"/>
      <c r="AC97" s="363"/>
      <c r="AD97" s="363"/>
      <c r="AE97" s="279" t="s">
        <v>379</v>
      </c>
      <c r="AF97" s="203"/>
      <c r="AG97" s="223" t="s">
        <v>24</v>
      </c>
      <c r="AH97" s="223"/>
      <c r="AI97" s="223"/>
      <c r="AJ97" s="223"/>
      <c r="AK97" s="223"/>
      <c r="AL97" s="223"/>
      <c r="AM97" s="223"/>
      <c r="AN97" s="223"/>
      <c r="AO97" s="223"/>
      <c r="AP97" s="168"/>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70"/>
      <c r="BO97" s="251"/>
      <c r="BP97" s="364"/>
      <c r="BQ97" s="364"/>
      <c r="BR97" s="364"/>
      <c r="BS97" s="250"/>
      <c r="BT97" s="364"/>
      <c r="BU97" s="364"/>
      <c r="BV97" s="364"/>
      <c r="BW97" s="364"/>
      <c r="BX97" s="364"/>
      <c r="BY97" s="250"/>
    </row>
    <row r="98" spans="3:78" ht="15" customHeight="1" thickBot="1">
      <c r="C98" s="307"/>
      <c r="D98" s="368"/>
      <c r="E98" s="371"/>
      <c r="F98" s="407"/>
      <c r="G98" s="377"/>
      <c r="H98" s="380"/>
      <c r="I98" s="383"/>
      <c r="J98" s="383"/>
      <c r="K98" s="386"/>
      <c r="L98" s="389"/>
      <c r="M98" s="392"/>
      <c r="N98" s="280" t="s">
        <v>380</v>
      </c>
      <c r="O98" s="212"/>
      <c r="P98" s="365" t="s">
        <v>282</v>
      </c>
      <c r="Q98" s="365"/>
      <c r="R98" s="171"/>
      <c r="S98" s="171"/>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7"/>
      <c r="BO98" s="251"/>
      <c r="BP98" s="250"/>
      <c r="BQ98" s="250"/>
      <c r="BR98" s="250"/>
      <c r="BS98" s="250"/>
      <c r="BT98" s="250"/>
      <c r="BU98" s="250"/>
      <c r="BY98" s="250"/>
    </row>
    <row r="99" spans="3:78" ht="11.25" customHeight="1">
      <c r="C99" s="97" t="s">
        <v>1240</v>
      </c>
      <c r="D99" s="366" t="s">
        <v>1273</v>
      </c>
      <c r="E99" s="369" t="s">
        <v>199</v>
      </c>
      <c r="F99" s="405" t="s">
        <v>210</v>
      </c>
      <c r="G99" s="375" t="s">
        <v>1289</v>
      </c>
      <c r="H99" s="378" t="s">
        <v>715</v>
      </c>
      <c r="I99" s="381" t="s">
        <v>715</v>
      </c>
      <c r="J99" s="381" t="s">
        <v>716</v>
      </c>
      <c r="K99" s="384">
        <v>2</v>
      </c>
      <c r="L99" s="387" t="s">
        <v>5</v>
      </c>
      <c r="M99" s="390">
        <v>0</v>
      </c>
      <c r="N99" s="163"/>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2"/>
      <c r="BO99" s="251"/>
      <c r="BP99" s="250"/>
      <c r="BQ99" s="250"/>
      <c r="BR99" s="250"/>
      <c r="BS99" s="250"/>
      <c r="BT99" s="250"/>
      <c r="BU99" s="250"/>
      <c r="BY99" s="250"/>
    </row>
    <row r="100" spans="3:78" ht="11.25" customHeight="1">
      <c r="C100" s="306"/>
      <c r="D100" s="367"/>
      <c r="E100" s="370"/>
      <c r="F100" s="406"/>
      <c r="G100" s="376"/>
      <c r="H100" s="379"/>
      <c r="I100" s="382"/>
      <c r="J100" s="382"/>
      <c r="K100" s="385"/>
      <c r="L100" s="388"/>
      <c r="M100" s="391"/>
      <c r="N100" s="393"/>
      <c r="O100" s="396">
        <v>1</v>
      </c>
      <c r="P100" s="399" t="s">
        <v>18</v>
      </c>
      <c r="Q100" s="419" t="s">
        <v>1267</v>
      </c>
      <c r="R100" s="361" t="s">
        <v>1263</v>
      </c>
      <c r="S100" s="361" t="s">
        <v>715</v>
      </c>
      <c r="T100" s="361" t="s">
        <v>715</v>
      </c>
      <c r="U100" s="361" t="s">
        <v>716</v>
      </c>
      <c r="V100" s="361" t="s">
        <v>1259</v>
      </c>
      <c r="W100" s="361" t="s">
        <v>1260</v>
      </c>
      <c r="X100" s="361" t="s">
        <v>1268</v>
      </c>
      <c r="Y100" s="361" t="s">
        <v>1269</v>
      </c>
      <c r="Z100" s="361" t="s">
        <v>715</v>
      </c>
      <c r="AA100" s="361" t="s">
        <v>715</v>
      </c>
      <c r="AB100" s="361" t="s">
        <v>716</v>
      </c>
      <c r="AC100" s="361" t="s">
        <v>1259</v>
      </c>
      <c r="AD100" s="361" t="s">
        <v>1260</v>
      </c>
      <c r="AE100" s="209"/>
      <c r="AF100" s="220">
        <v>0</v>
      </c>
      <c r="AG100" s="219" t="s">
        <v>308</v>
      </c>
      <c r="AH100" s="219"/>
      <c r="AI100" s="219"/>
      <c r="AJ100" s="219"/>
      <c r="AK100" s="219"/>
      <c r="AL100" s="219"/>
      <c r="AM100" s="219"/>
      <c r="AN100" s="219"/>
      <c r="AO100" s="219"/>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5"/>
      <c r="BO100" s="251"/>
      <c r="BP100" s="364" t="s">
        <v>1256</v>
      </c>
      <c r="BQ100" s="364" t="s">
        <v>1256</v>
      </c>
      <c r="BR100" s="364" t="s">
        <v>118</v>
      </c>
      <c r="BS100" s="250"/>
      <c r="BT100" s="364" t="s">
        <v>462</v>
      </c>
      <c r="BU100" s="364" t="s">
        <v>463</v>
      </c>
      <c r="BV100" s="364" t="s">
        <v>435</v>
      </c>
      <c r="BW100" s="364" t="s">
        <v>154</v>
      </c>
      <c r="BX100" s="364" t="s">
        <v>268</v>
      </c>
      <c r="BY100" s="250"/>
    </row>
    <row r="101" spans="3:78" ht="14.25">
      <c r="C101" s="306"/>
      <c r="D101" s="367"/>
      <c r="E101" s="370"/>
      <c r="F101" s="406"/>
      <c r="G101" s="376"/>
      <c r="H101" s="379"/>
      <c r="I101" s="382"/>
      <c r="J101" s="382"/>
      <c r="K101" s="385"/>
      <c r="L101" s="388"/>
      <c r="M101" s="391"/>
      <c r="N101" s="394"/>
      <c r="O101" s="397"/>
      <c r="P101" s="400"/>
      <c r="Q101" s="403"/>
      <c r="R101" s="362"/>
      <c r="S101" s="362"/>
      <c r="T101" s="362"/>
      <c r="U101" s="362"/>
      <c r="V101" s="362"/>
      <c r="W101" s="362"/>
      <c r="X101" s="362"/>
      <c r="Y101" s="362"/>
      <c r="Z101" s="362"/>
      <c r="AA101" s="362"/>
      <c r="AB101" s="362"/>
      <c r="AC101" s="362"/>
      <c r="AD101" s="362"/>
      <c r="AE101" s="193"/>
      <c r="AF101" s="217" t="s">
        <v>268</v>
      </c>
      <c r="AG101" s="158" t="s">
        <v>221</v>
      </c>
      <c r="AH101" s="300" t="s">
        <v>19</v>
      </c>
      <c r="AI101" s="301" t="s">
        <v>154</v>
      </c>
      <c r="AJ101" s="221"/>
      <c r="AK101" s="221"/>
      <c r="AL101" s="221"/>
      <c r="AM101" s="221"/>
      <c r="AN101" s="221"/>
      <c r="AO101" s="221"/>
      <c r="AP101" s="302" t="s">
        <v>19</v>
      </c>
      <c r="AQ101" s="195">
        <f>SUM(AT101,AW101,AZ101,BC101,BF101,BI101,BL101)</f>
        <v>8345.6079744525559</v>
      </c>
      <c r="AR101" s="197">
        <f>SUM(AT101,AX101,BA101,BD101,BG101,BJ101,BM101)</f>
        <v>0</v>
      </c>
      <c r="AS101" s="195">
        <f>AQ101-AR101</f>
        <v>8345.6079744525559</v>
      </c>
      <c r="AT101" s="312"/>
      <c r="AU101" s="312"/>
      <c r="AV101" s="244"/>
      <c r="AW101" s="159">
        <v>251.17161615000001</v>
      </c>
      <c r="AX101" s="312"/>
      <c r="AY101" s="194">
        <f>AW101-AX101</f>
        <v>251.17161615000001</v>
      </c>
      <c r="AZ101" s="160"/>
      <c r="BA101" s="312"/>
      <c r="BB101" s="194">
        <f>AZ101-BA101</f>
        <v>0</v>
      </c>
      <c r="BC101" s="159">
        <v>8094.4363583025552</v>
      </c>
      <c r="BD101" s="312"/>
      <c r="BE101" s="194">
        <f>BC101-BD101</f>
        <v>8094.4363583025552</v>
      </c>
      <c r="BF101" s="159"/>
      <c r="BG101" s="244"/>
      <c r="BH101" s="194">
        <f>BF101-BG101</f>
        <v>0</v>
      </c>
      <c r="BI101" s="159"/>
      <c r="BJ101" s="244"/>
      <c r="BK101" s="194">
        <f>BI101-BJ101</f>
        <v>0</v>
      </c>
      <c r="BL101" s="312"/>
      <c r="BM101" s="312"/>
      <c r="BN101" s="195">
        <f>BL101-BM101</f>
        <v>0</v>
      </c>
      <c r="BO101" s="251">
        <v>0</v>
      </c>
      <c r="BP101" s="364"/>
      <c r="BQ101" s="364"/>
      <c r="BR101" s="364"/>
      <c r="BS101" s="249" t="str">
        <f>AG101 &amp; BO101</f>
        <v>Амортизационные отчисления0</v>
      </c>
      <c r="BT101" s="364"/>
      <c r="BU101" s="364"/>
      <c r="BV101" s="364"/>
      <c r="BW101" s="364"/>
      <c r="BX101" s="364"/>
      <c r="BY101" s="249" t="str">
        <f>AG101&amp;AH101</f>
        <v>Амортизационные отчислениянет</v>
      </c>
      <c r="BZ101" s="250"/>
    </row>
    <row r="102" spans="3:78" ht="14.25">
      <c r="C102" s="97"/>
      <c r="D102" s="367"/>
      <c r="E102" s="370"/>
      <c r="F102" s="406"/>
      <c r="G102" s="376"/>
      <c r="H102" s="379"/>
      <c r="I102" s="382"/>
      <c r="J102" s="382"/>
      <c r="K102" s="385"/>
      <c r="L102" s="388"/>
      <c r="M102" s="391"/>
      <c r="N102" s="394"/>
      <c r="O102" s="397"/>
      <c r="P102" s="400"/>
      <c r="Q102" s="403"/>
      <c r="R102" s="362"/>
      <c r="S102" s="362"/>
      <c r="T102" s="362"/>
      <c r="U102" s="362"/>
      <c r="V102" s="362"/>
      <c r="W102" s="362"/>
      <c r="X102" s="362"/>
      <c r="Y102" s="362"/>
      <c r="Z102" s="362"/>
      <c r="AA102" s="362"/>
      <c r="AB102" s="362"/>
      <c r="AC102" s="362"/>
      <c r="AD102" s="362"/>
      <c r="AE102" s="322" t="s">
        <v>1240</v>
      </c>
      <c r="AF102" s="217" t="s">
        <v>118</v>
      </c>
      <c r="AG102" s="196" t="s">
        <v>223</v>
      </c>
      <c r="AH102" s="302" t="s">
        <v>19</v>
      </c>
      <c r="AI102" s="301" t="s">
        <v>154</v>
      </c>
      <c r="AJ102" s="221"/>
      <c r="AK102" s="221"/>
      <c r="AL102" s="221"/>
      <c r="AM102" s="221"/>
      <c r="AN102" s="221"/>
      <c r="AO102" s="221"/>
      <c r="AP102" s="302" t="s">
        <v>19</v>
      </c>
      <c r="AQ102" s="195">
        <f>SUM(AT102,AW102,AZ102,BC102,BF102,BI102,BL102)</f>
        <v>1669.1215948905146</v>
      </c>
      <c r="AR102" s="197">
        <f>SUM(AT102,AX102,BA102,BD102,BG102,BJ102,BM102)</f>
        <v>0</v>
      </c>
      <c r="AS102" s="195">
        <f>AQ102-AR102</f>
        <v>1669.1215948905146</v>
      </c>
      <c r="AT102" s="315"/>
      <c r="AU102" s="315"/>
      <c r="AV102" s="241"/>
      <c r="AW102" s="198">
        <f>301.40593938-AW101</f>
        <v>50.234323230000001</v>
      </c>
      <c r="AX102" s="313"/>
      <c r="AY102" s="199">
        <f>AW102-AX102</f>
        <v>50.234323230000001</v>
      </c>
      <c r="AZ102" s="173"/>
      <c r="BA102" s="313"/>
      <c r="BB102" s="199">
        <f>AZ102-BA102</f>
        <v>0</v>
      </c>
      <c r="BC102" s="198">
        <f>9713.32362996307-BC101</f>
        <v>1618.8872716605147</v>
      </c>
      <c r="BD102" s="313"/>
      <c r="BE102" s="199">
        <f>BC102-BD102</f>
        <v>1618.8872716605147</v>
      </c>
      <c r="BF102" s="198"/>
      <c r="BG102" s="241"/>
      <c r="BH102" s="199">
        <f>BF102-BG102</f>
        <v>0</v>
      </c>
      <c r="BI102" s="198"/>
      <c r="BJ102" s="241"/>
      <c r="BK102" s="199">
        <f>BI102-BJ102</f>
        <v>0</v>
      </c>
      <c r="BL102" s="313"/>
      <c r="BM102" s="313"/>
      <c r="BN102" s="195">
        <f>BL102-BM102</f>
        <v>0</v>
      </c>
      <c r="BO102" s="251">
        <v>0</v>
      </c>
      <c r="BP102" s="364"/>
      <c r="BQ102" s="364"/>
      <c r="BR102" s="364"/>
      <c r="BS102" s="249" t="str">
        <f>AG102 &amp; BO102</f>
        <v>Прочие собственные средства0</v>
      </c>
      <c r="BT102" s="364"/>
      <c r="BU102" s="364"/>
      <c r="BV102" s="364"/>
      <c r="BW102" s="364"/>
      <c r="BX102" s="364"/>
      <c r="BY102" s="249" t="str">
        <f>AG102&amp;AH102</f>
        <v>Прочие собственные средстванет</v>
      </c>
      <c r="BZ102" s="250"/>
    </row>
    <row r="103" spans="3:78" ht="15" customHeight="1">
      <c r="C103" s="306"/>
      <c r="D103" s="367"/>
      <c r="E103" s="370"/>
      <c r="F103" s="406"/>
      <c r="G103" s="376"/>
      <c r="H103" s="379"/>
      <c r="I103" s="382"/>
      <c r="J103" s="382"/>
      <c r="K103" s="385"/>
      <c r="L103" s="388"/>
      <c r="M103" s="391"/>
      <c r="N103" s="395"/>
      <c r="O103" s="398"/>
      <c r="P103" s="401"/>
      <c r="Q103" s="404"/>
      <c r="R103" s="363"/>
      <c r="S103" s="363"/>
      <c r="T103" s="363"/>
      <c r="U103" s="363"/>
      <c r="V103" s="363"/>
      <c r="W103" s="363"/>
      <c r="X103" s="363"/>
      <c r="Y103" s="363"/>
      <c r="Z103" s="363"/>
      <c r="AA103" s="363"/>
      <c r="AB103" s="363"/>
      <c r="AC103" s="363"/>
      <c r="AD103" s="363"/>
      <c r="AE103" s="279" t="s">
        <v>379</v>
      </c>
      <c r="AF103" s="203"/>
      <c r="AG103" s="223" t="s">
        <v>24</v>
      </c>
      <c r="AH103" s="223"/>
      <c r="AI103" s="223"/>
      <c r="AJ103" s="223"/>
      <c r="AK103" s="223"/>
      <c r="AL103" s="223"/>
      <c r="AM103" s="223"/>
      <c r="AN103" s="223"/>
      <c r="AO103" s="223"/>
      <c r="AP103" s="168"/>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70"/>
      <c r="BO103" s="251"/>
      <c r="BP103" s="364"/>
      <c r="BQ103" s="364"/>
      <c r="BR103" s="364"/>
      <c r="BS103" s="250"/>
      <c r="BT103" s="364"/>
      <c r="BU103" s="364"/>
      <c r="BV103" s="364"/>
      <c r="BW103" s="364"/>
      <c r="BX103" s="364"/>
      <c r="BY103" s="250"/>
    </row>
    <row r="104" spans="3:78" ht="15" customHeight="1" thickBot="1">
      <c r="C104" s="307"/>
      <c r="D104" s="368"/>
      <c r="E104" s="371"/>
      <c r="F104" s="407"/>
      <c r="G104" s="377"/>
      <c r="H104" s="380"/>
      <c r="I104" s="383"/>
      <c r="J104" s="383"/>
      <c r="K104" s="386"/>
      <c r="L104" s="389"/>
      <c r="M104" s="392"/>
      <c r="N104" s="280" t="s">
        <v>380</v>
      </c>
      <c r="O104" s="212"/>
      <c r="P104" s="365" t="s">
        <v>282</v>
      </c>
      <c r="Q104" s="365"/>
      <c r="R104" s="171"/>
      <c r="S104" s="171"/>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7"/>
      <c r="BO104" s="251"/>
      <c r="BP104" s="250"/>
      <c r="BQ104" s="250"/>
      <c r="BR104" s="250"/>
      <c r="BS104" s="250"/>
      <c r="BT104" s="250"/>
      <c r="BU104" s="250"/>
      <c r="BY104" s="250"/>
    </row>
    <row r="105" spans="3:78" ht="11.25" customHeight="1">
      <c r="C105" s="97" t="s">
        <v>1240</v>
      </c>
      <c r="D105" s="366" t="s">
        <v>1274</v>
      </c>
      <c r="E105" s="369" t="s">
        <v>199</v>
      </c>
      <c r="F105" s="405" t="s">
        <v>210</v>
      </c>
      <c r="G105" s="375" t="s">
        <v>1290</v>
      </c>
      <c r="H105" s="378" t="s">
        <v>715</v>
      </c>
      <c r="I105" s="381" t="s">
        <v>715</v>
      </c>
      <c r="J105" s="381" t="s">
        <v>716</v>
      </c>
      <c r="K105" s="384">
        <v>2</v>
      </c>
      <c r="L105" s="387" t="s">
        <v>4</v>
      </c>
      <c r="M105" s="390">
        <v>0</v>
      </c>
      <c r="N105" s="163"/>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2"/>
      <c r="BO105" s="251"/>
      <c r="BP105" s="250"/>
      <c r="BQ105" s="250"/>
      <c r="BR105" s="250"/>
      <c r="BS105" s="250"/>
      <c r="BT105" s="250"/>
      <c r="BU105" s="250"/>
      <c r="BY105" s="250"/>
    </row>
    <row r="106" spans="3:78" ht="11.25" customHeight="1">
      <c r="C106" s="306"/>
      <c r="D106" s="367"/>
      <c r="E106" s="370"/>
      <c r="F106" s="406"/>
      <c r="G106" s="376"/>
      <c r="H106" s="379"/>
      <c r="I106" s="382"/>
      <c r="J106" s="382"/>
      <c r="K106" s="385"/>
      <c r="L106" s="388"/>
      <c r="M106" s="391"/>
      <c r="N106" s="393"/>
      <c r="O106" s="396">
        <v>1</v>
      </c>
      <c r="P106" s="399" t="s">
        <v>18</v>
      </c>
      <c r="Q106" s="419" t="s">
        <v>1262</v>
      </c>
      <c r="R106" s="361" t="s">
        <v>1263</v>
      </c>
      <c r="S106" s="361" t="s">
        <v>715</v>
      </c>
      <c r="T106" s="361" t="s">
        <v>715</v>
      </c>
      <c r="U106" s="361" t="s">
        <v>716</v>
      </c>
      <c r="V106" s="361" t="s">
        <v>1259</v>
      </c>
      <c r="W106" s="361" t="s">
        <v>1260</v>
      </c>
      <c r="X106" s="361" t="s">
        <v>1264</v>
      </c>
      <c r="Y106" s="361" t="s">
        <v>268</v>
      </c>
      <c r="Z106" s="361" t="s">
        <v>715</v>
      </c>
      <c r="AA106" s="361" t="s">
        <v>715</v>
      </c>
      <c r="AB106" s="361" t="s">
        <v>716</v>
      </c>
      <c r="AC106" s="361" t="s">
        <v>1259</v>
      </c>
      <c r="AD106" s="361" t="s">
        <v>1260</v>
      </c>
      <c r="AE106" s="209"/>
      <c r="AF106" s="220">
        <v>0</v>
      </c>
      <c r="AG106" s="219" t="s">
        <v>308</v>
      </c>
      <c r="AH106" s="219"/>
      <c r="AI106" s="219"/>
      <c r="AJ106" s="219"/>
      <c r="AK106" s="219"/>
      <c r="AL106" s="219"/>
      <c r="AM106" s="219"/>
      <c r="AN106" s="219"/>
      <c r="AO106" s="219"/>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5"/>
      <c r="BO106" s="251"/>
      <c r="BP106" s="364" t="s">
        <v>1256</v>
      </c>
      <c r="BQ106" s="364" t="s">
        <v>1256</v>
      </c>
      <c r="BR106" s="364" t="s">
        <v>268</v>
      </c>
      <c r="BS106" s="250"/>
      <c r="BT106" s="364" t="s">
        <v>462</v>
      </c>
      <c r="BU106" s="364" t="s">
        <v>463</v>
      </c>
      <c r="BV106" s="364" t="s">
        <v>435</v>
      </c>
      <c r="BW106" s="364" t="s">
        <v>154</v>
      </c>
      <c r="BX106" s="364" t="s">
        <v>268</v>
      </c>
      <c r="BY106" s="250"/>
    </row>
    <row r="107" spans="3:78" ht="14.25">
      <c r="C107" s="306"/>
      <c r="D107" s="367"/>
      <c r="E107" s="370"/>
      <c r="F107" s="406"/>
      <c r="G107" s="376"/>
      <c r="H107" s="379"/>
      <c r="I107" s="382"/>
      <c r="J107" s="382"/>
      <c r="K107" s="385"/>
      <c r="L107" s="388"/>
      <c r="M107" s="391"/>
      <c r="N107" s="394"/>
      <c r="O107" s="397"/>
      <c r="P107" s="400"/>
      <c r="Q107" s="403"/>
      <c r="R107" s="362"/>
      <c r="S107" s="362"/>
      <c r="T107" s="362"/>
      <c r="U107" s="362"/>
      <c r="V107" s="362"/>
      <c r="W107" s="362"/>
      <c r="X107" s="362"/>
      <c r="Y107" s="362"/>
      <c r="Z107" s="362"/>
      <c r="AA107" s="362"/>
      <c r="AB107" s="362"/>
      <c r="AC107" s="362"/>
      <c r="AD107" s="362"/>
      <c r="AE107" s="193"/>
      <c r="AF107" s="217" t="s">
        <v>268</v>
      </c>
      <c r="AG107" s="158" t="s">
        <v>221</v>
      </c>
      <c r="AH107" s="300" t="s">
        <v>19</v>
      </c>
      <c r="AI107" s="301" t="s">
        <v>154</v>
      </c>
      <c r="AJ107" s="221"/>
      <c r="AK107" s="221"/>
      <c r="AL107" s="221"/>
      <c r="AM107" s="221"/>
      <c r="AN107" s="221"/>
      <c r="AO107" s="221"/>
      <c r="AP107" s="302" t="s">
        <v>19</v>
      </c>
      <c r="AQ107" s="195">
        <f>SUM(AT107,AW107,AZ107,BC107,BF107,BI107,BL107)</f>
        <v>7731.0757958954673</v>
      </c>
      <c r="AR107" s="197">
        <f>SUM(AT107,AX107,BA107,BD107,BG107,BJ107,BM107)</f>
        <v>0</v>
      </c>
      <c r="AS107" s="195">
        <f>AQ107-AR107</f>
        <v>7731.0757958954673</v>
      </c>
      <c r="AT107" s="312"/>
      <c r="AU107" s="312"/>
      <c r="AV107" s="244"/>
      <c r="AW107" s="159"/>
      <c r="AX107" s="312"/>
      <c r="AY107" s="194">
        <f>AW107-AX107</f>
        <v>0</v>
      </c>
      <c r="AZ107" s="160">
        <v>7731.0757958954673</v>
      </c>
      <c r="BA107" s="312"/>
      <c r="BB107" s="194">
        <f>AZ107-BA107</f>
        <v>7731.0757958954673</v>
      </c>
      <c r="BC107" s="159"/>
      <c r="BD107" s="312"/>
      <c r="BE107" s="194">
        <f>BC107-BD107</f>
        <v>0</v>
      </c>
      <c r="BF107" s="159"/>
      <c r="BG107" s="244"/>
      <c r="BH107" s="194">
        <f>BF107-BG107</f>
        <v>0</v>
      </c>
      <c r="BI107" s="159"/>
      <c r="BJ107" s="244"/>
      <c r="BK107" s="194">
        <f>BI107-BJ107</f>
        <v>0</v>
      </c>
      <c r="BL107" s="312"/>
      <c r="BM107" s="312"/>
      <c r="BN107" s="195">
        <f>BL107-BM107</f>
        <v>0</v>
      </c>
      <c r="BO107" s="251">
        <v>0</v>
      </c>
      <c r="BP107" s="364"/>
      <c r="BQ107" s="364"/>
      <c r="BR107" s="364"/>
      <c r="BS107" s="249" t="str">
        <f>AG107 &amp; BO107</f>
        <v>Амортизационные отчисления0</v>
      </c>
      <c r="BT107" s="364"/>
      <c r="BU107" s="364"/>
      <c r="BV107" s="364"/>
      <c r="BW107" s="364"/>
      <c r="BX107" s="364"/>
      <c r="BY107" s="249" t="str">
        <f>AG107&amp;AH107</f>
        <v>Амортизационные отчислениянет</v>
      </c>
      <c r="BZ107" s="250"/>
    </row>
    <row r="108" spans="3:78" ht="14.25">
      <c r="C108" s="97"/>
      <c r="D108" s="367"/>
      <c r="E108" s="370"/>
      <c r="F108" s="406"/>
      <c r="G108" s="376"/>
      <c r="H108" s="379"/>
      <c r="I108" s="382"/>
      <c r="J108" s="382"/>
      <c r="K108" s="385"/>
      <c r="L108" s="388"/>
      <c r="M108" s="391"/>
      <c r="N108" s="394"/>
      <c r="O108" s="397"/>
      <c r="P108" s="400"/>
      <c r="Q108" s="403"/>
      <c r="R108" s="362"/>
      <c r="S108" s="362"/>
      <c r="T108" s="362"/>
      <c r="U108" s="362"/>
      <c r="V108" s="362"/>
      <c r="W108" s="362"/>
      <c r="X108" s="362"/>
      <c r="Y108" s="362"/>
      <c r="Z108" s="362"/>
      <c r="AA108" s="362"/>
      <c r="AB108" s="362"/>
      <c r="AC108" s="362"/>
      <c r="AD108" s="362"/>
      <c r="AE108" s="322" t="s">
        <v>1240</v>
      </c>
      <c r="AF108" s="217" t="s">
        <v>118</v>
      </c>
      <c r="AG108" s="196" t="s">
        <v>223</v>
      </c>
      <c r="AH108" s="302" t="s">
        <v>19</v>
      </c>
      <c r="AI108" s="301" t="s">
        <v>154</v>
      </c>
      <c r="AJ108" s="221"/>
      <c r="AK108" s="221"/>
      <c r="AL108" s="221"/>
      <c r="AM108" s="221"/>
      <c r="AN108" s="221"/>
      <c r="AO108" s="221"/>
      <c r="AP108" s="302" t="s">
        <v>19</v>
      </c>
      <c r="AQ108" s="195">
        <f>SUM(AT108,AW108,AZ108,BC108,BF108,BI108,BL108)</f>
        <v>1546.2151591790935</v>
      </c>
      <c r="AR108" s="197">
        <f>SUM(AT108,AX108,BA108,BD108,BG108,BJ108,BM108)</f>
        <v>0</v>
      </c>
      <c r="AS108" s="195">
        <f>AQ108-AR108</f>
        <v>1546.2151591790935</v>
      </c>
      <c r="AT108" s="315"/>
      <c r="AU108" s="315"/>
      <c r="AV108" s="241"/>
      <c r="AW108" s="198"/>
      <c r="AX108" s="313"/>
      <c r="AY108" s="199">
        <f>AW108-AX108</f>
        <v>0</v>
      </c>
      <c r="AZ108" s="173">
        <f>9277.29095507456-AZ107</f>
        <v>1546.2151591790935</v>
      </c>
      <c r="BA108" s="313"/>
      <c r="BB108" s="199">
        <f>AZ108-BA108</f>
        <v>1546.2151591790935</v>
      </c>
      <c r="BC108" s="198"/>
      <c r="BD108" s="313"/>
      <c r="BE108" s="199">
        <f>BC108-BD108</f>
        <v>0</v>
      </c>
      <c r="BF108" s="198"/>
      <c r="BG108" s="241"/>
      <c r="BH108" s="199">
        <f>BF108-BG108</f>
        <v>0</v>
      </c>
      <c r="BI108" s="198"/>
      <c r="BJ108" s="241"/>
      <c r="BK108" s="199">
        <f>BI108-BJ108</f>
        <v>0</v>
      </c>
      <c r="BL108" s="313"/>
      <c r="BM108" s="313"/>
      <c r="BN108" s="195">
        <f>BL108-BM108</f>
        <v>0</v>
      </c>
      <c r="BO108" s="251">
        <v>0</v>
      </c>
      <c r="BP108" s="364"/>
      <c r="BQ108" s="364"/>
      <c r="BR108" s="364"/>
      <c r="BS108" s="249" t="str">
        <f>AG108 &amp; BO108</f>
        <v>Прочие собственные средства0</v>
      </c>
      <c r="BT108" s="364"/>
      <c r="BU108" s="364"/>
      <c r="BV108" s="364"/>
      <c r="BW108" s="364"/>
      <c r="BX108" s="364"/>
      <c r="BY108" s="249" t="str">
        <f>AG108&amp;AH108</f>
        <v>Прочие собственные средстванет</v>
      </c>
      <c r="BZ108" s="250"/>
    </row>
    <row r="109" spans="3:78" ht="15" customHeight="1">
      <c r="C109" s="306"/>
      <c r="D109" s="367"/>
      <c r="E109" s="370"/>
      <c r="F109" s="406"/>
      <c r="G109" s="376"/>
      <c r="H109" s="379"/>
      <c r="I109" s="382"/>
      <c r="J109" s="382"/>
      <c r="K109" s="385"/>
      <c r="L109" s="388"/>
      <c r="M109" s="391"/>
      <c r="N109" s="395"/>
      <c r="O109" s="398"/>
      <c r="P109" s="401"/>
      <c r="Q109" s="404"/>
      <c r="R109" s="363"/>
      <c r="S109" s="363"/>
      <c r="T109" s="363"/>
      <c r="U109" s="363"/>
      <c r="V109" s="363"/>
      <c r="W109" s="363"/>
      <c r="X109" s="363"/>
      <c r="Y109" s="363"/>
      <c r="Z109" s="363"/>
      <c r="AA109" s="363"/>
      <c r="AB109" s="363"/>
      <c r="AC109" s="363"/>
      <c r="AD109" s="363"/>
      <c r="AE109" s="279" t="s">
        <v>379</v>
      </c>
      <c r="AF109" s="203"/>
      <c r="AG109" s="223" t="s">
        <v>24</v>
      </c>
      <c r="AH109" s="223"/>
      <c r="AI109" s="223"/>
      <c r="AJ109" s="223"/>
      <c r="AK109" s="223"/>
      <c r="AL109" s="223"/>
      <c r="AM109" s="223"/>
      <c r="AN109" s="223"/>
      <c r="AO109" s="223"/>
      <c r="AP109" s="168"/>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70"/>
      <c r="BO109" s="251"/>
      <c r="BP109" s="364"/>
      <c r="BQ109" s="364"/>
      <c r="BR109" s="364"/>
      <c r="BS109" s="250"/>
      <c r="BT109" s="364"/>
      <c r="BU109" s="364"/>
      <c r="BV109" s="364"/>
      <c r="BW109" s="364"/>
      <c r="BX109" s="364"/>
      <c r="BY109" s="250"/>
    </row>
    <row r="110" spans="3:78" ht="15" customHeight="1" thickBot="1">
      <c r="C110" s="307"/>
      <c r="D110" s="368"/>
      <c r="E110" s="371"/>
      <c r="F110" s="407"/>
      <c r="G110" s="377"/>
      <c r="H110" s="380"/>
      <c r="I110" s="383"/>
      <c r="J110" s="383"/>
      <c r="K110" s="386"/>
      <c r="L110" s="389"/>
      <c r="M110" s="392"/>
      <c r="N110" s="280" t="s">
        <v>380</v>
      </c>
      <c r="O110" s="212"/>
      <c r="P110" s="365" t="s">
        <v>282</v>
      </c>
      <c r="Q110" s="365"/>
      <c r="R110" s="171"/>
      <c r="S110" s="171"/>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7"/>
      <c r="BO110" s="251"/>
      <c r="BP110" s="250"/>
      <c r="BQ110" s="250"/>
      <c r="BR110" s="250"/>
      <c r="BS110" s="250"/>
      <c r="BT110" s="250"/>
      <c r="BU110" s="250"/>
      <c r="BY110" s="250"/>
    </row>
    <row r="111" spans="3:78" ht="11.25" customHeight="1">
      <c r="C111" s="97" t="s">
        <v>1240</v>
      </c>
      <c r="D111" s="366" t="s">
        <v>1275</v>
      </c>
      <c r="E111" s="369" t="s">
        <v>199</v>
      </c>
      <c r="F111" s="405" t="s">
        <v>210</v>
      </c>
      <c r="G111" s="375" t="s">
        <v>1291</v>
      </c>
      <c r="H111" s="378" t="s">
        <v>715</v>
      </c>
      <c r="I111" s="381" t="s">
        <v>715</v>
      </c>
      <c r="J111" s="381" t="s">
        <v>716</v>
      </c>
      <c r="K111" s="384">
        <v>2</v>
      </c>
      <c r="L111" s="387" t="s">
        <v>4</v>
      </c>
      <c r="M111" s="390">
        <v>0</v>
      </c>
      <c r="N111" s="163"/>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2"/>
      <c r="BO111" s="251"/>
      <c r="BP111" s="250"/>
      <c r="BQ111" s="250"/>
      <c r="BR111" s="250"/>
      <c r="BS111" s="250"/>
      <c r="BT111" s="250"/>
      <c r="BU111" s="250"/>
      <c r="BY111" s="250"/>
    </row>
    <row r="112" spans="3:78" ht="11.25" customHeight="1">
      <c r="C112" s="306"/>
      <c r="D112" s="367"/>
      <c r="E112" s="370"/>
      <c r="F112" s="406"/>
      <c r="G112" s="376"/>
      <c r="H112" s="379"/>
      <c r="I112" s="382"/>
      <c r="J112" s="382"/>
      <c r="K112" s="385"/>
      <c r="L112" s="388"/>
      <c r="M112" s="391"/>
      <c r="N112" s="393"/>
      <c r="O112" s="396">
        <v>1</v>
      </c>
      <c r="P112" s="399" t="s">
        <v>18</v>
      </c>
      <c r="Q112" s="419" t="s">
        <v>1267</v>
      </c>
      <c r="R112" s="361" t="s">
        <v>1263</v>
      </c>
      <c r="S112" s="361" t="s">
        <v>715</v>
      </c>
      <c r="T112" s="361" t="s">
        <v>715</v>
      </c>
      <c r="U112" s="361" t="s">
        <v>716</v>
      </c>
      <c r="V112" s="361" t="s">
        <v>1259</v>
      </c>
      <c r="W112" s="361" t="s">
        <v>1260</v>
      </c>
      <c r="X112" s="361" t="s">
        <v>1268</v>
      </c>
      <c r="Y112" s="361" t="s">
        <v>1269</v>
      </c>
      <c r="Z112" s="361" t="s">
        <v>715</v>
      </c>
      <c r="AA112" s="361" t="s">
        <v>715</v>
      </c>
      <c r="AB112" s="361" t="s">
        <v>716</v>
      </c>
      <c r="AC112" s="361" t="s">
        <v>1259</v>
      </c>
      <c r="AD112" s="361" t="s">
        <v>1260</v>
      </c>
      <c r="AE112" s="209"/>
      <c r="AF112" s="220">
        <v>0</v>
      </c>
      <c r="AG112" s="219" t="s">
        <v>308</v>
      </c>
      <c r="AH112" s="219"/>
      <c r="AI112" s="219"/>
      <c r="AJ112" s="219"/>
      <c r="AK112" s="219"/>
      <c r="AL112" s="219"/>
      <c r="AM112" s="219"/>
      <c r="AN112" s="219"/>
      <c r="AO112" s="219"/>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5"/>
      <c r="BO112" s="251"/>
      <c r="BP112" s="364" t="s">
        <v>1256</v>
      </c>
      <c r="BQ112" s="364" t="s">
        <v>1256</v>
      </c>
      <c r="BR112" s="364" t="s">
        <v>118</v>
      </c>
      <c r="BS112" s="250"/>
      <c r="BT112" s="364" t="s">
        <v>462</v>
      </c>
      <c r="BU112" s="364" t="s">
        <v>463</v>
      </c>
      <c r="BV112" s="364" t="s">
        <v>435</v>
      </c>
      <c r="BW112" s="364" t="s">
        <v>154</v>
      </c>
      <c r="BX112" s="364" t="s">
        <v>268</v>
      </c>
      <c r="BY112" s="250"/>
    </row>
    <row r="113" spans="3:78" ht="14.25">
      <c r="C113" s="306"/>
      <c r="D113" s="367"/>
      <c r="E113" s="370"/>
      <c r="F113" s="406"/>
      <c r="G113" s="376"/>
      <c r="H113" s="379"/>
      <c r="I113" s="382"/>
      <c r="J113" s="382"/>
      <c r="K113" s="385"/>
      <c r="L113" s="388"/>
      <c r="M113" s="391"/>
      <c r="N113" s="394"/>
      <c r="O113" s="397"/>
      <c r="P113" s="400"/>
      <c r="Q113" s="403"/>
      <c r="R113" s="362"/>
      <c r="S113" s="362"/>
      <c r="T113" s="362"/>
      <c r="U113" s="362"/>
      <c r="V113" s="362"/>
      <c r="W113" s="362"/>
      <c r="X113" s="362"/>
      <c r="Y113" s="362"/>
      <c r="Z113" s="362"/>
      <c r="AA113" s="362"/>
      <c r="AB113" s="362"/>
      <c r="AC113" s="362"/>
      <c r="AD113" s="362"/>
      <c r="AE113" s="193"/>
      <c r="AF113" s="217" t="s">
        <v>268</v>
      </c>
      <c r="AG113" s="158" t="s">
        <v>221</v>
      </c>
      <c r="AH113" s="300" t="s">
        <v>19</v>
      </c>
      <c r="AI113" s="301" t="s">
        <v>154</v>
      </c>
      <c r="AJ113" s="221"/>
      <c r="AK113" s="221"/>
      <c r="AL113" s="221"/>
      <c r="AM113" s="221"/>
      <c r="AN113" s="221"/>
      <c r="AO113" s="221"/>
      <c r="AP113" s="302" t="s">
        <v>19</v>
      </c>
      <c r="AQ113" s="195">
        <f>SUM(AT113,AW113,AZ113,BC113,BF113,BI113,BL113)</f>
        <v>12670.050961027828</v>
      </c>
      <c r="AR113" s="197">
        <f>SUM(AT113,AX113,BA113,BD113,BG113,BJ113,BM113)</f>
        <v>0</v>
      </c>
      <c r="AS113" s="195">
        <f>AQ113-AR113</f>
        <v>12670.050961027828</v>
      </c>
      <c r="AT113" s="312"/>
      <c r="AU113" s="312"/>
      <c r="AV113" s="244"/>
      <c r="AW113" s="159">
        <v>502.34760225000002</v>
      </c>
      <c r="AX113" s="312"/>
      <c r="AY113" s="194">
        <f>AW113-AX113</f>
        <v>502.34760225000002</v>
      </c>
      <c r="AZ113" s="160">
        <v>12167.703358777828</v>
      </c>
      <c r="BA113" s="312"/>
      <c r="BB113" s="194">
        <f>AZ113-BA113</f>
        <v>12167.703358777828</v>
      </c>
      <c r="BC113" s="159"/>
      <c r="BD113" s="312"/>
      <c r="BE113" s="194">
        <f>BC113-BD113</f>
        <v>0</v>
      </c>
      <c r="BF113" s="159"/>
      <c r="BG113" s="244"/>
      <c r="BH113" s="194">
        <f>BF113-BG113</f>
        <v>0</v>
      </c>
      <c r="BI113" s="159"/>
      <c r="BJ113" s="244"/>
      <c r="BK113" s="194">
        <f>BI113-BJ113</f>
        <v>0</v>
      </c>
      <c r="BL113" s="312"/>
      <c r="BM113" s="312"/>
      <c r="BN113" s="195">
        <f>BL113-BM113</f>
        <v>0</v>
      </c>
      <c r="BO113" s="251">
        <v>0</v>
      </c>
      <c r="BP113" s="364"/>
      <c r="BQ113" s="364"/>
      <c r="BR113" s="364"/>
      <c r="BS113" s="249" t="str">
        <f>AG113 &amp; BO113</f>
        <v>Амортизационные отчисления0</v>
      </c>
      <c r="BT113" s="364"/>
      <c r="BU113" s="364"/>
      <c r="BV113" s="364"/>
      <c r="BW113" s="364"/>
      <c r="BX113" s="364"/>
      <c r="BY113" s="249" t="str">
        <f>AG113&amp;AH113</f>
        <v>Амортизационные отчислениянет</v>
      </c>
      <c r="BZ113" s="250"/>
    </row>
    <row r="114" spans="3:78" ht="14.25">
      <c r="C114" s="97"/>
      <c r="D114" s="367"/>
      <c r="E114" s="370"/>
      <c r="F114" s="406"/>
      <c r="G114" s="376"/>
      <c r="H114" s="379"/>
      <c r="I114" s="382"/>
      <c r="J114" s="382"/>
      <c r="K114" s="385"/>
      <c r="L114" s="388"/>
      <c r="M114" s="391"/>
      <c r="N114" s="394"/>
      <c r="O114" s="397"/>
      <c r="P114" s="400"/>
      <c r="Q114" s="403"/>
      <c r="R114" s="362"/>
      <c r="S114" s="362"/>
      <c r="T114" s="362"/>
      <c r="U114" s="362"/>
      <c r="V114" s="362"/>
      <c r="W114" s="362"/>
      <c r="X114" s="362"/>
      <c r="Y114" s="362"/>
      <c r="Z114" s="362"/>
      <c r="AA114" s="362"/>
      <c r="AB114" s="362"/>
      <c r="AC114" s="362"/>
      <c r="AD114" s="362"/>
      <c r="AE114" s="322" t="s">
        <v>1240</v>
      </c>
      <c r="AF114" s="217" t="s">
        <v>118</v>
      </c>
      <c r="AG114" s="196" t="s">
        <v>223</v>
      </c>
      <c r="AH114" s="302" t="s">
        <v>19</v>
      </c>
      <c r="AI114" s="301" t="s">
        <v>154</v>
      </c>
      <c r="AJ114" s="221"/>
      <c r="AK114" s="221"/>
      <c r="AL114" s="221"/>
      <c r="AM114" s="221"/>
      <c r="AN114" s="221"/>
      <c r="AO114" s="221"/>
      <c r="AP114" s="302" t="s">
        <v>19</v>
      </c>
      <c r="AQ114" s="195">
        <f>SUM(AT114,AW114,AZ114,BC114,BF114,BI114,BL114)</f>
        <v>2534.0101922055724</v>
      </c>
      <c r="AR114" s="197">
        <f>SUM(AT114,AX114,BA114,BD114,BG114,BJ114,BM114)</f>
        <v>0</v>
      </c>
      <c r="AS114" s="195">
        <f>AQ114-AR114</f>
        <v>2534.0101922055724</v>
      </c>
      <c r="AT114" s="315"/>
      <c r="AU114" s="315"/>
      <c r="AV114" s="241"/>
      <c r="AW114" s="198">
        <v>100.46952045</v>
      </c>
      <c r="AX114" s="313"/>
      <c r="AY114" s="199">
        <f>AW114-AX114</f>
        <v>100.46952045</v>
      </c>
      <c r="AZ114" s="173">
        <f>14601.2440305334-AZ113</f>
        <v>2433.5406717555725</v>
      </c>
      <c r="BA114" s="313"/>
      <c r="BB114" s="199">
        <f>AZ114-BA114</f>
        <v>2433.5406717555725</v>
      </c>
      <c r="BC114" s="198"/>
      <c r="BD114" s="313"/>
      <c r="BE114" s="199">
        <f>BC114-BD114</f>
        <v>0</v>
      </c>
      <c r="BF114" s="198"/>
      <c r="BG114" s="241"/>
      <c r="BH114" s="199">
        <f>BF114-BG114</f>
        <v>0</v>
      </c>
      <c r="BI114" s="198"/>
      <c r="BJ114" s="241"/>
      <c r="BK114" s="199">
        <f>BI114-BJ114</f>
        <v>0</v>
      </c>
      <c r="BL114" s="313"/>
      <c r="BM114" s="313"/>
      <c r="BN114" s="195">
        <f>BL114-BM114</f>
        <v>0</v>
      </c>
      <c r="BO114" s="251">
        <v>0</v>
      </c>
      <c r="BP114" s="364"/>
      <c r="BQ114" s="364"/>
      <c r="BR114" s="364"/>
      <c r="BS114" s="249" t="str">
        <f>AG114 &amp; BO114</f>
        <v>Прочие собственные средства0</v>
      </c>
      <c r="BT114" s="364"/>
      <c r="BU114" s="364"/>
      <c r="BV114" s="364"/>
      <c r="BW114" s="364"/>
      <c r="BX114" s="364"/>
      <c r="BY114" s="249" t="str">
        <f>AG114&amp;AH114</f>
        <v>Прочие собственные средстванет</v>
      </c>
      <c r="BZ114" s="250"/>
    </row>
    <row r="115" spans="3:78" ht="15" customHeight="1">
      <c r="C115" s="306"/>
      <c r="D115" s="367"/>
      <c r="E115" s="370"/>
      <c r="F115" s="406"/>
      <c r="G115" s="376"/>
      <c r="H115" s="379"/>
      <c r="I115" s="382"/>
      <c r="J115" s="382"/>
      <c r="K115" s="385"/>
      <c r="L115" s="388"/>
      <c r="M115" s="391"/>
      <c r="N115" s="395"/>
      <c r="O115" s="398"/>
      <c r="P115" s="401"/>
      <c r="Q115" s="404"/>
      <c r="R115" s="363"/>
      <c r="S115" s="363"/>
      <c r="T115" s="363"/>
      <c r="U115" s="363"/>
      <c r="V115" s="363"/>
      <c r="W115" s="363"/>
      <c r="X115" s="363"/>
      <c r="Y115" s="363"/>
      <c r="Z115" s="363"/>
      <c r="AA115" s="363"/>
      <c r="AB115" s="363"/>
      <c r="AC115" s="363"/>
      <c r="AD115" s="363"/>
      <c r="AE115" s="279" t="s">
        <v>379</v>
      </c>
      <c r="AF115" s="203"/>
      <c r="AG115" s="223" t="s">
        <v>24</v>
      </c>
      <c r="AH115" s="223"/>
      <c r="AI115" s="223"/>
      <c r="AJ115" s="223"/>
      <c r="AK115" s="223"/>
      <c r="AL115" s="223"/>
      <c r="AM115" s="223"/>
      <c r="AN115" s="223"/>
      <c r="AO115" s="223"/>
      <c r="AP115" s="168"/>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70"/>
      <c r="BO115" s="251"/>
      <c r="BP115" s="364"/>
      <c r="BQ115" s="364"/>
      <c r="BR115" s="364"/>
      <c r="BS115" s="250"/>
      <c r="BT115" s="364"/>
      <c r="BU115" s="364"/>
      <c r="BV115" s="364"/>
      <c r="BW115" s="364"/>
      <c r="BX115" s="364"/>
      <c r="BY115" s="250"/>
    </row>
    <row r="116" spans="3:78" ht="15" customHeight="1" thickBot="1">
      <c r="C116" s="307"/>
      <c r="D116" s="368"/>
      <c r="E116" s="371"/>
      <c r="F116" s="407"/>
      <c r="G116" s="377"/>
      <c r="H116" s="380"/>
      <c r="I116" s="383"/>
      <c r="J116" s="383"/>
      <c r="K116" s="386"/>
      <c r="L116" s="389"/>
      <c r="M116" s="392"/>
      <c r="N116" s="280" t="s">
        <v>380</v>
      </c>
      <c r="O116" s="212"/>
      <c r="P116" s="365" t="s">
        <v>282</v>
      </c>
      <c r="Q116" s="365"/>
      <c r="R116" s="171"/>
      <c r="S116" s="171"/>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7"/>
      <c r="BO116" s="251"/>
      <c r="BP116" s="250"/>
      <c r="BQ116" s="250"/>
      <c r="BR116" s="250"/>
      <c r="BS116" s="250"/>
      <c r="BT116" s="250"/>
      <c r="BU116" s="250"/>
      <c r="BY116" s="250"/>
    </row>
    <row r="117" spans="3:78" ht="11.25" customHeight="1">
      <c r="C117" s="97" t="s">
        <v>1240</v>
      </c>
      <c r="D117" s="366" t="s">
        <v>1276</v>
      </c>
      <c r="E117" s="369" t="s">
        <v>199</v>
      </c>
      <c r="F117" s="405" t="s">
        <v>210</v>
      </c>
      <c r="G117" s="375" t="s">
        <v>1292</v>
      </c>
      <c r="H117" s="378" t="s">
        <v>715</v>
      </c>
      <c r="I117" s="381" t="s">
        <v>715</v>
      </c>
      <c r="J117" s="381" t="s">
        <v>716</v>
      </c>
      <c r="K117" s="384">
        <v>2</v>
      </c>
      <c r="L117" s="387" t="s">
        <v>4</v>
      </c>
      <c r="M117" s="390">
        <v>0</v>
      </c>
      <c r="N117" s="163"/>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2"/>
      <c r="BO117" s="251"/>
      <c r="BP117" s="250"/>
      <c r="BQ117" s="250"/>
      <c r="BR117" s="250"/>
      <c r="BS117" s="250"/>
      <c r="BT117" s="250"/>
      <c r="BU117" s="250"/>
      <c r="BY117" s="250"/>
    </row>
    <row r="118" spans="3:78" ht="11.25" customHeight="1">
      <c r="C118" s="306"/>
      <c r="D118" s="367"/>
      <c r="E118" s="370"/>
      <c r="F118" s="406"/>
      <c r="G118" s="376"/>
      <c r="H118" s="379"/>
      <c r="I118" s="382"/>
      <c r="J118" s="382"/>
      <c r="K118" s="385"/>
      <c r="L118" s="388"/>
      <c r="M118" s="391"/>
      <c r="N118" s="393"/>
      <c r="O118" s="396">
        <v>1</v>
      </c>
      <c r="P118" s="399" t="s">
        <v>18</v>
      </c>
      <c r="Q118" s="419" t="s">
        <v>1267</v>
      </c>
      <c r="R118" s="361" t="s">
        <v>1263</v>
      </c>
      <c r="S118" s="361" t="s">
        <v>715</v>
      </c>
      <c r="T118" s="361" t="s">
        <v>715</v>
      </c>
      <c r="U118" s="361" t="s">
        <v>716</v>
      </c>
      <c r="V118" s="361" t="s">
        <v>1259</v>
      </c>
      <c r="W118" s="361" t="s">
        <v>1260</v>
      </c>
      <c r="X118" s="361" t="s">
        <v>1268</v>
      </c>
      <c r="Y118" s="361" t="s">
        <v>1269</v>
      </c>
      <c r="Z118" s="361" t="s">
        <v>715</v>
      </c>
      <c r="AA118" s="361" t="s">
        <v>715</v>
      </c>
      <c r="AB118" s="361" t="s">
        <v>716</v>
      </c>
      <c r="AC118" s="361" t="s">
        <v>1259</v>
      </c>
      <c r="AD118" s="361" t="s">
        <v>1260</v>
      </c>
      <c r="AE118" s="209"/>
      <c r="AF118" s="220">
        <v>0</v>
      </c>
      <c r="AG118" s="219" t="s">
        <v>308</v>
      </c>
      <c r="AH118" s="219"/>
      <c r="AI118" s="219"/>
      <c r="AJ118" s="219"/>
      <c r="AK118" s="219"/>
      <c r="AL118" s="219"/>
      <c r="AM118" s="219"/>
      <c r="AN118" s="219"/>
      <c r="AO118" s="219"/>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5"/>
      <c r="BO118" s="251"/>
      <c r="BP118" s="364" t="s">
        <v>1256</v>
      </c>
      <c r="BQ118" s="364" t="s">
        <v>1256</v>
      </c>
      <c r="BR118" s="364" t="s">
        <v>118</v>
      </c>
      <c r="BS118" s="250"/>
      <c r="BT118" s="364" t="s">
        <v>462</v>
      </c>
      <c r="BU118" s="364" t="s">
        <v>463</v>
      </c>
      <c r="BV118" s="364" t="s">
        <v>435</v>
      </c>
      <c r="BW118" s="364" t="s">
        <v>154</v>
      </c>
      <c r="BX118" s="364" t="s">
        <v>268</v>
      </c>
      <c r="BY118" s="250"/>
    </row>
    <row r="119" spans="3:78" ht="14.25">
      <c r="C119" s="306"/>
      <c r="D119" s="367"/>
      <c r="E119" s="370"/>
      <c r="F119" s="406"/>
      <c r="G119" s="376"/>
      <c r="H119" s="379"/>
      <c r="I119" s="382"/>
      <c r="J119" s="382"/>
      <c r="K119" s="385"/>
      <c r="L119" s="388"/>
      <c r="M119" s="391"/>
      <c r="N119" s="394"/>
      <c r="O119" s="397"/>
      <c r="P119" s="400"/>
      <c r="Q119" s="403"/>
      <c r="R119" s="362"/>
      <c r="S119" s="362"/>
      <c r="T119" s="362"/>
      <c r="U119" s="362"/>
      <c r="V119" s="362"/>
      <c r="W119" s="362"/>
      <c r="X119" s="362"/>
      <c r="Y119" s="362"/>
      <c r="Z119" s="362"/>
      <c r="AA119" s="362"/>
      <c r="AB119" s="362"/>
      <c r="AC119" s="362"/>
      <c r="AD119" s="362"/>
      <c r="AE119" s="193"/>
      <c r="AF119" s="217" t="s">
        <v>268</v>
      </c>
      <c r="AG119" s="158" t="s">
        <v>221</v>
      </c>
      <c r="AH119" s="300" t="s">
        <v>19</v>
      </c>
      <c r="AI119" s="301" t="s">
        <v>154</v>
      </c>
      <c r="AJ119" s="221"/>
      <c r="AK119" s="221"/>
      <c r="AL119" s="221"/>
      <c r="AM119" s="221"/>
      <c r="AN119" s="221"/>
      <c r="AO119" s="221"/>
      <c r="AP119" s="302" t="s">
        <v>19</v>
      </c>
      <c r="AQ119" s="195">
        <f>SUM(AT119,AW119,AZ119,BC119,BF119,BI119,BL119)</f>
        <v>24012.900752521917</v>
      </c>
      <c r="AR119" s="197">
        <f>SUM(AT119,AX119,BA119,BD119,BG119,BJ119,BM119)</f>
        <v>0</v>
      </c>
      <c r="AS119" s="195">
        <f>AQ119-AR119</f>
        <v>24012.900752521917</v>
      </c>
      <c r="AT119" s="312"/>
      <c r="AU119" s="312"/>
      <c r="AV119" s="244"/>
      <c r="AW119" s="159">
        <v>599.47848090000002</v>
      </c>
      <c r="AX119" s="312"/>
      <c r="AY119" s="194">
        <f>AW119-AX119</f>
        <v>599.47848090000002</v>
      </c>
      <c r="AZ119" s="160">
        <v>23413.422271621916</v>
      </c>
      <c r="BA119" s="312"/>
      <c r="BB119" s="194">
        <f>AZ119-BA119</f>
        <v>23413.422271621916</v>
      </c>
      <c r="BC119" s="159"/>
      <c r="BD119" s="312"/>
      <c r="BE119" s="194">
        <f>BC119-BD119</f>
        <v>0</v>
      </c>
      <c r="BF119" s="159"/>
      <c r="BG119" s="244"/>
      <c r="BH119" s="194">
        <f>BF119-BG119</f>
        <v>0</v>
      </c>
      <c r="BI119" s="159"/>
      <c r="BJ119" s="244"/>
      <c r="BK119" s="194">
        <f>BI119-BJ119</f>
        <v>0</v>
      </c>
      <c r="BL119" s="312"/>
      <c r="BM119" s="312"/>
      <c r="BN119" s="195">
        <f>BL119-BM119</f>
        <v>0</v>
      </c>
      <c r="BO119" s="251">
        <v>0</v>
      </c>
      <c r="BP119" s="364"/>
      <c r="BQ119" s="364"/>
      <c r="BR119" s="364"/>
      <c r="BS119" s="249" t="str">
        <f>AG119 &amp; BO119</f>
        <v>Амортизационные отчисления0</v>
      </c>
      <c r="BT119" s="364"/>
      <c r="BU119" s="364"/>
      <c r="BV119" s="364"/>
      <c r="BW119" s="364"/>
      <c r="BX119" s="364"/>
      <c r="BY119" s="249" t="str">
        <f>AG119&amp;AH119</f>
        <v>Амортизационные отчислениянет</v>
      </c>
      <c r="BZ119" s="250"/>
    </row>
    <row r="120" spans="3:78" ht="14.25">
      <c r="C120" s="97"/>
      <c r="D120" s="367"/>
      <c r="E120" s="370"/>
      <c r="F120" s="406"/>
      <c r="G120" s="376"/>
      <c r="H120" s="379"/>
      <c r="I120" s="382"/>
      <c r="J120" s="382"/>
      <c r="K120" s="385"/>
      <c r="L120" s="388"/>
      <c r="M120" s="391"/>
      <c r="N120" s="394"/>
      <c r="O120" s="397"/>
      <c r="P120" s="400"/>
      <c r="Q120" s="403"/>
      <c r="R120" s="362"/>
      <c r="S120" s="362"/>
      <c r="T120" s="362"/>
      <c r="U120" s="362"/>
      <c r="V120" s="362"/>
      <c r="W120" s="362"/>
      <c r="X120" s="362"/>
      <c r="Y120" s="362"/>
      <c r="Z120" s="362"/>
      <c r="AA120" s="362"/>
      <c r="AB120" s="362"/>
      <c r="AC120" s="362"/>
      <c r="AD120" s="362"/>
      <c r="AE120" s="322" t="s">
        <v>1240</v>
      </c>
      <c r="AF120" s="217" t="s">
        <v>118</v>
      </c>
      <c r="AG120" s="196" t="s">
        <v>223</v>
      </c>
      <c r="AH120" s="302" t="s">
        <v>19</v>
      </c>
      <c r="AI120" s="301" t="s">
        <v>154</v>
      </c>
      <c r="AJ120" s="221"/>
      <c r="AK120" s="221"/>
      <c r="AL120" s="221"/>
      <c r="AM120" s="221"/>
      <c r="AN120" s="221"/>
      <c r="AO120" s="221"/>
      <c r="AP120" s="302" t="s">
        <v>19</v>
      </c>
      <c r="AQ120" s="195">
        <f>SUM(AT120,AW120,AZ120,BC120,BF120,BI120,BL120)</f>
        <v>4802.5801505043855</v>
      </c>
      <c r="AR120" s="197">
        <f>SUM(AT120,AX120,BA120,BD120,BG120,BJ120,BM120)</f>
        <v>0</v>
      </c>
      <c r="AS120" s="195">
        <f>AQ120-AR120</f>
        <v>4802.5801505043855</v>
      </c>
      <c r="AT120" s="315"/>
      <c r="AU120" s="315"/>
      <c r="AV120" s="241"/>
      <c r="AW120" s="198">
        <f>719.37417708-AW119</f>
        <v>119.89569617999996</v>
      </c>
      <c r="AX120" s="313"/>
      <c r="AY120" s="199">
        <f>AW120-AX120</f>
        <v>119.89569617999996</v>
      </c>
      <c r="AZ120" s="173">
        <f>28096.1067259463-AZ119</f>
        <v>4682.684454324386</v>
      </c>
      <c r="BA120" s="313"/>
      <c r="BB120" s="199">
        <f>AZ120-BA120</f>
        <v>4682.684454324386</v>
      </c>
      <c r="BC120" s="198"/>
      <c r="BD120" s="313"/>
      <c r="BE120" s="199">
        <f>BC120-BD120</f>
        <v>0</v>
      </c>
      <c r="BF120" s="198"/>
      <c r="BG120" s="241"/>
      <c r="BH120" s="199">
        <f>BF120-BG120</f>
        <v>0</v>
      </c>
      <c r="BI120" s="198"/>
      <c r="BJ120" s="241"/>
      <c r="BK120" s="199">
        <f>BI120-BJ120</f>
        <v>0</v>
      </c>
      <c r="BL120" s="313"/>
      <c r="BM120" s="313"/>
      <c r="BN120" s="195">
        <f>BL120-BM120</f>
        <v>0</v>
      </c>
      <c r="BO120" s="251">
        <v>0</v>
      </c>
      <c r="BP120" s="364"/>
      <c r="BQ120" s="364"/>
      <c r="BR120" s="364"/>
      <c r="BS120" s="249" t="str">
        <f>AG120 &amp; BO120</f>
        <v>Прочие собственные средства0</v>
      </c>
      <c r="BT120" s="364"/>
      <c r="BU120" s="364"/>
      <c r="BV120" s="364"/>
      <c r="BW120" s="364"/>
      <c r="BX120" s="364"/>
      <c r="BY120" s="249" t="str">
        <f>AG120&amp;AH120</f>
        <v>Прочие собственные средстванет</v>
      </c>
      <c r="BZ120" s="250"/>
    </row>
    <row r="121" spans="3:78" ht="15" customHeight="1">
      <c r="C121" s="306"/>
      <c r="D121" s="367"/>
      <c r="E121" s="370"/>
      <c r="F121" s="406"/>
      <c r="G121" s="376"/>
      <c r="H121" s="379"/>
      <c r="I121" s="382"/>
      <c r="J121" s="382"/>
      <c r="K121" s="385"/>
      <c r="L121" s="388"/>
      <c r="M121" s="391"/>
      <c r="N121" s="395"/>
      <c r="O121" s="398"/>
      <c r="P121" s="401"/>
      <c r="Q121" s="404"/>
      <c r="R121" s="363"/>
      <c r="S121" s="363"/>
      <c r="T121" s="363"/>
      <c r="U121" s="363"/>
      <c r="V121" s="363"/>
      <c r="W121" s="363"/>
      <c r="X121" s="363"/>
      <c r="Y121" s="363"/>
      <c r="Z121" s="363"/>
      <c r="AA121" s="363"/>
      <c r="AB121" s="363"/>
      <c r="AC121" s="363"/>
      <c r="AD121" s="363"/>
      <c r="AE121" s="279" t="s">
        <v>379</v>
      </c>
      <c r="AF121" s="203"/>
      <c r="AG121" s="223" t="s">
        <v>24</v>
      </c>
      <c r="AH121" s="223"/>
      <c r="AI121" s="223"/>
      <c r="AJ121" s="223"/>
      <c r="AK121" s="223"/>
      <c r="AL121" s="223"/>
      <c r="AM121" s="223"/>
      <c r="AN121" s="223"/>
      <c r="AO121" s="223"/>
      <c r="AP121" s="168"/>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70"/>
      <c r="BO121" s="251"/>
      <c r="BP121" s="364"/>
      <c r="BQ121" s="364"/>
      <c r="BR121" s="364"/>
      <c r="BS121" s="250"/>
      <c r="BT121" s="364"/>
      <c r="BU121" s="364"/>
      <c r="BV121" s="364"/>
      <c r="BW121" s="364"/>
      <c r="BX121" s="364"/>
      <c r="BY121" s="250"/>
    </row>
    <row r="122" spans="3:78" ht="15" customHeight="1" thickBot="1">
      <c r="C122" s="307"/>
      <c r="D122" s="368"/>
      <c r="E122" s="371"/>
      <c r="F122" s="407"/>
      <c r="G122" s="377"/>
      <c r="H122" s="380"/>
      <c r="I122" s="383"/>
      <c r="J122" s="383"/>
      <c r="K122" s="386"/>
      <c r="L122" s="389"/>
      <c r="M122" s="392"/>
      <c r="N122" s="280" t="s">
        <v>380</v>
      </c>
      <c r="O122" s="212"/>
      <c r="P122" s="365" t="s">
        <v>282</v>
      </c>
      <c r="Q122" s="365"/>
      <c r="R122" s="171"/>
      <c r="S122" s="171"/>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7"/>
      <c r="BO122" s="251"/>
      <c r="BP122" s="250"/>
      <c r="BQ122" s="250"/>
      <c r="BR122" s="250"/>
      <c r="BS122" s="250"/>
      <c r="BT122" s="250"/>
      <c r="BU122" s="250"/>
      <c r="BY122" s="250"/>
    </row>
    <row r="123" spans="3:78" ht="11.25" customHeight="1">
      <c r="C123" s="97" t="s">
        <v>1240</v>
      </c>
      <c r="D123" s="366" t="s">
        <v>1277</v>
      </c>
      <c r="E123" s="369" t="s">
        <v>199</v>
      </c>
      <c r="F123" s="405" t="s">
        <v>210</v>
      </c>
      <c r="G123" s="375" t="s">
        <v>1293</v>
      </c>
      <c r="H123" s="378" t="s">
        <v>715</v>
      </c>
      <c r="I123" s="381" t="s">
        <v>715</v>
      </c>
      <c r="J123" s="381" t="s">
        <v>716</v>
      </c>
      <c r="K123" s="384">
        <v>2</v>
      </c>
      <c r="L123" s="387" t="s">
        <v>4</v>
      </c>
      <c r="M123" s="390">
        <v>0</v>
      </c>
      <c r="N123" s="163"/>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2"/>
      <c r="BO123" s="251"/>
      <c r="BP123" s="250"/>
      <c r="BQ123" s="250"/>
      <c r="BR123" s="250"/>
      <c r="BS123" s="250"/>
      <c r="BT123" s="250"/>
      <c r="BU123" s="250"/>
      <c r="BY123" s="250"/>
    </row>
    <row r="124" spans="3:78" ht="11.25" customHeight="1">
      <c r="C124" s="306"/>
      <c r="D124" s="367"/>
      <c r="E124" s="370"/>
      <c r="F124" s="406"/>
      <c r="G124" s="376"/>
      <c r="H124" s="379"/>
      <c r="I124" s="382"/>
      <c r="J124" s="382"/>
      <c r="K124" s="385"/>
      <c r="L124" s="388"/>
      <c r="M124" s="391"/>
      <c r="N124" s="393"/>
      <c r="O124" s="396">
        <v>1</v>
      </c>
      <c r="P124" s="399" t="s">
        <v>1297</v>
      </c>
      <c r="Q124" s="402"/>
      <c r="R124" s="361" t="s">
        <v>154</v>
      </c>
      <c r="S124" s="361" t="s">
        <v>154</v>
      </c>
      <c r="T124" s="361" t="s">
        <v>154</v>
      </c>
      <c r="U124" s="361" t="s">
        <v>154</v>
      </c>
      <c r="V124" s="361" t="s">
        <v>154</v>
      </c>
      <c r="W124" s="361" t="s">
        <v>154</v>
      </c>
      <c r="X124" s="361" t="s">
        <v>154</v>
      </c>
      <c r="Y124" s="361" t="s">
        <v>154</v>
      </c>
      <c r="Z124" s="361" t="s">
        <v>154</v>
      </c>
      <c r="AA124" s="361" t="s">
        <v>154</v>
      </c>
      <c r="AB124" s="361" t="s">
        <v>154</v>
      </c>
      <c r="AC124" s="361" t="s">
        <v>154</v>
      </c>
      <c r="AD124" s="361" t="s">
        <v>154</v>
      </c>
      <c r="AE124" s="209"/>
      <c r="AF124" s="220">
        <v>0</v>
      </c>
      <c r="AG124" s="219" t="s">
        <v>308</v>
      </c>
      <c r="AH124" s="219"/>
      <c r="AI124" s="219"/>
      <c r="AJ124" s="219"/>
      <c r="AK124" s="219"/>
      <c r="AL124" s="219"/>
      <c r="AM124" s="219"/>
      <c r="AN124" s="219"/>
      <c r="AO124" s="219"/>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5"/>
      <c r="BO124" s="251"/>
      <c r="BP124" s="364" t="s">
        <v>1298</v>
      </c>
      <c r="BQ124" s="364" t="s">
        <v>1298</v>
      </c>
      <c r="BR124" s="364" t="s">
        <v>1298</v>
      </c>
      <c r="BS124" s="250"/>
      <c r="BT124" s="364" t="s">
        <v>1298</v>
      </c>
      <c r="BU124" s="364" t="s">
        <v>1298</v>
      </c>
      <c r="BV124" s="364" t="s">
        <v>1298</v>
      </c>
      <c r="BW124" s="364" t="s">
        <v>1298</v>
      </c>
      <c r="BX124" s="364" t="s">
        <v>1298</v>
      </c>
      <c r="BY124" s="250"/>
    </row>
    <row r="125" spans="3:78" ht="14.25">
      <c r="C125" s="306"/>
      <c r="D125" s="367"/>
      <c r="E125" s="370"/>
      <c r="F125" s="406"/>
      <c r="G125" s="376"/>
      <c r="H125" s="379"/>
      <c r="I125" s="382"/>
      <c r="J125" s="382"/>
      <c r="K125" s="385"/>
      <c r="L125" s="388"/>
      <c r="M125" s="391"/>
      <c r="N125" s="394"/>
      <c r="O125" s="397"/>
      <c r="P125" s="400"/>
      <c r="Q125" s="403"/>
      <c r="R125" s="362"/>
      <c r="S125" s="362"/>
      <c r="T125" s="362"/>
      <c r="U125" s="362"/>
      <c r="V125" s="362"/>
      <c r="W125" s="362"/>
      <c r="X125" s="362"/>
      <c r="Y125" s="362"/>
      <c r="Z125" s="362"/>
      <c r="AA125" s="362"/>
      <c r="AB125" s="362"/>
      <c r="AC125" s="362"/>
      <c r="AD125" s="362"/>
      <c r="AE125" s="193"/>
      <c r="AF125" s="217" t="s">
        <v>268</v>
      </c>
      <c r="AG125" s="158" t="s">
        <v>240</v>
      </c>
      <c r="AH125" s="300" t="s">
        <v>19</v>
      </c>
      <c r="AI125" s="301" t="s">
        <v>154</v>
      </c>
      <c r="AJ125" s="221"/>
      <c r="AK125" s="221"/>
      <c r="AL125" s="221"/>
      <c r="AM125" s="221"/>
      <c r="AN125" s="221"/>
      <c r="AO125" s="221"/>
      <c r="AP125" s="302" t="s">
        <v>19</v>
      </c>
      <c r="AQ125" s="195">
        <f>SUM(AT125,AW125,AZ125,BC125,BF125,BI125,BL125)</f>
        <v>3695.7453623825536</v>
      </c>
      <c r="AR125" s="197">
        <f>SUM(AT125,AX125,BA125,BD125,BG125,BJ125,BM125)</f>
        <v>0</v>
      </c>
      <c r="AS125" s="195">
        <f>AQ125-AR125</f>
        <v>3695.7453623825536</v>
      </c>
      <c r="AT125" s="312"/>
      <c r="AU125" s="312"/>
      <c r="AV125" s="244"/>
      <c r="AW125" s="159">
        <v>3695.7453623825536</v>
      </c>
      <c r="AX125" s="312"/>
      <c r="AY125" s="194">
        <f>AW125-AX125</f>
        <v>3695.7453623825536</v>
      </c>
      <c r="AZ125" s="160"/>
      <c r="BA125" s="312"/>
      <c r="BB125" s="194">
        <f>AZ125-BA125</f>
        <v>0</v>
      </c>
      <c r="BC125" s="159"/>
      <c r="BD125" s="312"/>
      <c r="BE125" s="194">
        <f>BC125-BD125</f>
        <v>0</v>
      </c>
      <c r="BF125" s="159"/>
      <c r="BG125" s="244"/>
      <c r="BH125" s="194">
        <f>BF125-BG125</f>
        <v>0</v>
      </c>
      <c r="BI125" s="159"/>
      <c r="BJ125" s="244"/>
      <c r="BK125" s="194">
        <f>BI125-BJ125</f>
        <v>0</v>
      </c>
      <c r="BL125" s="312"/>
      <c r="BM125" s="312"/>
      <c r="BN125" s="195">
        <f>BL125-BM125</f>
        <v>0</v>
      </c>
      <c r="BO125" s="251">
        <v>0</v>
      </c>
      <c r="BP125" s="364"/>
      <c r="BQ125" s="364"/>
      <c r="BR125" s="364"/>
      <c r="BS125" s="249" t="str">
        <f>AG125 &amp; BO125</f>
        <v>Прибыль направляемая на инвестиции0</v>
      </c>
      <c r="BT125" s="364"/>
      <c r="BU125" s="364"/>
      <c r="BV125" s="364"/>
      <c r="BW125" s="364"/>
      <c r="BX125" s="364"/>
      <c r="BY125" s="249" t="str">
        <f>AG125&amp;AH125</f>
        <v>Прибыль направляемая на инвестициинет</v>
      </c>
      <c r="BZ125" s="250"/>
    </row>
    <row r="126" spans="3:78" ht="14.25">
      <c r="C126" s="97"/>
      <c r="D126" s="367"/>
      <c r="E126" s="370"/>
      <c r="F126" s="406"/>
      <c r="G126" s="376"/>
      <c r="H126" s="379"/>
      <c r="I126" s="382"/>
      <c r="J126" s="382"/>
      <c r="K126" s="385"/>
      <c r="L126" s="388"/>
      <c r="M126" s="391"/>
      <c r="N126" s="394"/>
      <c r="O126" s="397"/>
      <c r="P126" s="400"/>
      <c r="Q126" s="403"/>
      <c r="R126" s="362"/>
      <c r="S126" s="362"/>
      <c r="T126" s="362"/>
      <c r="U126" s="362"/>
      <c r="V126" s="362"/>
      <c r="W126" s="362"/>
      <c r="X126" s="362"/>
      <c r="Y126" s="362"/>
      <c r="Z126" s="362"/>
      <c r="AA126" s="362"/>
      <c r="AB126" s="362"/>
      <c r="AC126" s="362"/>
      <c r="AD126" s="362"/>
      <c r="AE126" s="322" t="s">
        <v>1240</v>
      </c>
      <c r="AF126" s="217" t="s">
        <v>118</v>
      </c>
      <c r="AG126" s="196" t="s">
        <v>223</v>
      </c>
      <c r="AH126" s="302" t="s">
        <v>19</v>
      </c>
      <c r="AI126" s="301" t="s">
        <v>154</v>
      </c>
      <c r="AJ126" s="221"/>
      <c r="AK126" s="221"/>
      <c r="AL126" s="221"/>
      <c r="AM126" s="221"/>
      <c r="AN126" s="221"/>
      <c r="AO126" s="221"/>
      <c r="AP126" s="302" t="s">
        <v>19</v>
      </c>
      <c r="AQ126" s="195">
        <f>SUM(AT126,AW126,AZ126,BC126,BF126,BI126,BL126)</f>
        <v>739.14907247650672</v>
      </c>
      <c r="AR126" s="197">
        <f>SUM(AT126,AX126,BA126,BD126,BG126,BJ126,BM126)</f>
        <v>0</v>
      </c>
      <c r="AS126" s="195">
        <f>AQ126-AR126</f>
        <v>739.14907247650672</v>
      </c>
      <c r="AT126" s="315"/>
      <c r="AU126" s="315"/>
      <c r="AV126" s="241"/>
      <c r="AW126" s="198">
        <f>4434.89443485906-AW125</f>
        <v>739.14907247650672</v>
      </c>
      <c r="AX126" s="313"/>
      <c r="AY126" s="199">
        <f>AW126-AX126</f>
        <v>739.14907247650672</v>
      </c>
      <c r="AZ126" s="173"/>
      <c r="BA126" s="313"/>
      <c r="BB126" s="199">
        <f>AZ126-BA126</f>
        <v>0</v>
      </c>
      <c r="BC126" s="198"/>
      <c r="BD126" s="313"/>
      <c r="BE126" s="199">
        <f>BC126-BD126</f>
        <v>0</v>
      </c>
      <c r="BF126" s="198"/>
      <c r="BG126" s="241"/>
      <c r="BH126" s="199">
        <f>BF126-BG126</f>
        <v>0</v>
      </c>
      <c r="BI126" s="198"/>
      <c r="BJ126" s="241"/>
      <c r="BK126" s="199">
        <f>BI126-BJ126</f>
        <v>0</v>
      </c>
      <c r="BL126" s="313"/>
      <c r="BM126" s="313"/>
      <c r="BN126" s="195">
        <f>BL126-BM126</f>
        <v>0</v>
      </c>
      <c r="BO126" s="251">
        <v>0</v>
      </c>
      <c r="BP126" s="364"/>
      <c r="BQ126" s="364"/>
      <c r="BR126" s="364"/>
      <c r="BS126" s="249" t="str">
        <f>AG126 &amp; BO126</f>
        <v>Прочие собственные средства0</v>
      </c>
      <c r="BT126" s="364"/>
      <c r="BU126" s="364"/>
      <c r="BV126" s="364"/>
      <c r="BW126" s="364"/>
      <c r="BX126" s="364"/>
      <c r="BY126" s="249" t="str">
        <f>AG126&amp;AH126</f>
        <v>Прочие собственные средстванет</v>
      </c>
      <c r="BZ126" s="250"/>
    </row>
    <row r="127" spans="3:78" ht="14.25">
      <c r="C127" s="97"/>
      <c r="D127" s="367"/>
      <c r="E127" s="370"/>
      <c r="F127" s="406"/>
      <c r="G127" s="376"/>
      <c r="H127" s="379"/>
      <c r="I127" s="382"/>
      <c r="J127" s="382"/>
      <c r="K127" s="385"/>
      <c r="L127" s="388"/>
      <c r="M127" s="391"/>
      <c r="N127" s="394"/>
      <c r="O127" s="397"/>
      <c r="P127" s="400"/>
      <c r="Q127" s="403"/>
      <c r="R127" s="362"/>
      <c r="S127" s="362"/>
      <c r="T127" s="362"/>
      <c r="U127" s="362"/>
      <c r="V127" s="362"/>
      <c r="W127" s="362"/>
      <c r="X127" s="362"/>
      <c r="Y127" s="362"/>
      <c r="Z127" s="362"/>
      <c r="AA127" s="362"/>
      <c r="AB127" s="362"/>
      <c r="AC127" s="362"/>
      <c r="AD127" s="362"/>
      <c r="AE127" s="322" t="s">
        <v>1240</v>
      </c>
      <c r="AF127" s="217" t="s">
        <v>119</v>
      </c>
      <c r="AG127" s="196" t="s">
        <v>226</v>
      </c>
      <c r="AH127" s="302" t="s">
        <v>19</v>
      </c>
      <c r="AI127" s="301" t="s">
        <v>154</v>
      </c>
      <c r="AJ127" s="221"/>
      <c r="AK127" s="221"/>
      <c r="AL127" s="221"/>
      <c r="AM127" s="221"/>
      <c r="AN127" s="221"/>
      <c r="AO127" s="221"/>
      <c r="AP127" s="302" t="s">
        <v>19</v>
      </c>
      <c r="AQ127" s="195">
        <f>SUM(AT127,AW127,AZ127,BC127,BF127,BI127,BL127)</f>
        <v>186769.79821674622</v>
      </c>
      <c r="AR127" s="197">
        <f>SUM(AT127,AX127,BA127,BD127,BG127,BJ127,BM127)</f>
        <v>0</v>
      </c>
      <c r="AS127" s="195">
        <f>AQ127-AR127</f>
        <v>186769.79821674622</v>
      </c>
      <c r="AT127" s="315"/>
      <c r="AU127" s="315"/>
      <c r="AV127" s="241"/>
      <c r="AW127" s="198"/>
      <c r="AX127" s="313"/>
      <c r="AY127" s="199">
        <f>AW127-AX127</f>
        <v>0</v>
      </c>
      <c r="AZ127" s="173">
        <v>186769.79821674622</v>
      </c>
      <c r="BA127" s="313"/>
      <c r="BB127" s="199">
        <f>AZ127-BA127</f>
        <v>186769.79821674622</v>
      </c>
      <c r="BC127" s="198"/>
      <c r="BD127" s="313"/>
      <c r="BE127" s="199">
        <f>BC127-BD127</f>
        <v>0</v>
      </c>
      <c r="BF127" s="198"/>
      <c r="BG127" s="241"/>
      <c r="BH127" s="199">
        <f>BF127-BG127</f>
        <v>0</v>
      </c>
      <c r="BI127" s="198"/>
      <c r="BJ127" s="241"/>
      <c r="BK127" s="199">
        <f>BI127-BJ127</f>
        <v>0</v>
      </c>
      <c r="BL127" s="313"/>
      <c r="BM127" s="313"/>
      <c r="BN127" s="195">
        <f>BL127-BM127</f>
        <v>0</v>
      </c>
      <c r="BO127" s="251">
        <v>0</v>
      </c>
      <c r="BP127" s="364"/>
      <c r="BQ127" s="364"/>
      <c r="BR127" s="364"/>
      <c r="BS127" s="249" t="str">
        <f>AG127 &amp; BO127</f>
        <v>Кредиты0</v>
      </c>
      <c r="BT127" s="364"/>
      <c r="BU127" s="364"/>
      <c r="BV127" s="364"/>
      <c r="BW127" s="364"/>
      <c r="BX127" s="364"/>
      <c r="BY127" s="249" t="str">
        <f>AG127&amp;AH127</f>
        <v>Кредитынет</v>
      </c>
      <c r="BZ127" s="250"/>
    </row>
    <row r="128" spans="3:78" ht="14.25">
      <c r="C128" s="97"/>
      <c r="D128" s="367"/>
      <c r="E128" s="370"/>
      <c r="F128" s="406"/>
      <c r="G128" s="376"/>
      <c r="H128" s="379"/>
      <c r="I128" s="382"/>
      <c r="J128" s="382"/>
      <c r="K128" s="385"/>
      <c r="L128" s="388"/>
      <c r="M128" s="391"/>
      <c r="N128" s="394"/>
      <c r="O128" s="397"/>
      <c r="P128" s="400"/>
      <c r="Q128" s="403"/>
      <c r="R128" s="362"/>
      <c r="S128" s="362"/>
      <c r="T128" s="362"/>
      <c r="U128" s="362"/>
      <c r="V128" s="362"/>
      <c r="W128" s="362"/>
      <c r="X128" s="362"/>
      <c r="Y128" s="362"/>
      <c r="Z128" s="362"/>
      <c r="AA128" s="362"/>
      <c r="AB128" s="362"/>
      <c r="AC128" s="362"/>
      <c r="AD128" s="362"/>
      <c r="AE128" s="322" t="s">
        <v>1240</v>
      </c>
      <c r="AF128" s="217" t="s">
        <v>120</v>
      </c>
      <c r="AG128" s="196" t="s">
        <v>230</v>
      </c>
      <c r="AH128" s="302" t="s">
        <v>19</v>
      </c>
      <c r="AI128" s="301" t="s">
        <v>154</v>
      </c>
      <c r="AJ128" s="221"/>
      <c r="AK128" s="221"/>
      <c r="AL128" s="221"/>
      <c r="AM128" s="221"/>
      <c r="AN128" s="221"/>
      <c r="AO128" s="221"/>
      <c r="AP128" s="302" t="s">
        <v>19</v>
      </c>
      <c r="AQ128" s="195">
        <f>SUM(AT128,AW128,AZ128,BC128,BF128,BI128,BL128)</f>
        <v>37353.95964334879</v>
      </c>
      <c r="AR128" s="197">
        <f>SUM(AT128,AX128,BA128,BD128,BG128,BJ128,BM128)</f>
        <v>0</v>
      </c>
      <c r="AS128" s="195">
        <f>AQ128-AR128</f>
        <v>37353.95964334879</v>
      </c>
      <c r="AT128" s="315"/>
      <c r="AU128" s="315"/>
      <c r="AV128" s="241"/>
      <c r="AW128" s="198"/>
      <c r="AX128" s="313"/>
      <c r="AY128" s="199">
        <f>AW128-AX128</f>
        <v>0</v>
      </c>
      <c r="AZ128" s="173">
        <f>224123.757860095-AZ127</f>
        <v>37353.95964334879</v>
      </c>
      <c r="BA128" s="313"/>
      <c r="BB128" s="199">
        <f>AZ128-BA128</f>
        <v>37353.95964334879</v>
      </c>
      <c r="BC128" s="198"/>
      <c r="BD128" s="313"/>
      <c r="BE128" s="199">
        <f>BC128-BD128</f>
        <v>0</v>
      </c>
      <c r="BF128" s="198"/>
      <c r="BG128" s="241"/>
      <c r="BH128" s="199">
        <f>BF128-BG128</f>
        <v>0</v>
      </c>
      <c r="BI128" s="198"/>
      <c r="BJ128" s="241"/>
      <c r="BK128" s="199">
        <f>BI128-BJ128</f>
        <v>0</v>
      </c>
      <c r="BL128" s="313"/>
      <c r="BM128" s="313"/>
      <c r="BN128" s="195">
        <f>BL128-BM128</f>
        <v>0</v>
      </c>
      <c r="BO128" s="251">
        <v>0</v>
      </c>
      <c r="BP128" s="364"/>
      <c r="BQ128" s="364"/>
      <c r="BR128" s="364"/>
      <c r="BS128" s="249" t="str">
        <f>AG128 &amp; BO128</f>
        <v>Прочие привлеченные средства0</v>
      </c>
      <c r="BT128" s="364"/>
      <c r="BU128" s="364"/>
      <c r="BV128" s="364"/>
      <c r="BW128" s="364"/>
      <c r="BX128" s="364"/>
      <c r="BY128" s="249" t="str">
        <f>AG128&amp;AH128</f>
        <v>Прочие привлеченные средстванет</v>
      </c>
      <c r="BZ128" s="250"/>
    </row>
    <row r="129" spans="3:78" ht="15" customHeight="1">
      <c r="C129" s="306"/>
      <c r="D129" s="367"/>
      <c r="E129" s="370"/>
      <c r="F129" s="406"/>
      <c r="G129" s="376"/>
      <c r="H129" s="379"/>
      <c r="I129" s="382"/>
      <c r="J129" s="382"/>
      <c r="K129" s="385"/>
      <c r="L129" s="388"/>
      <c r="M129" s="391"/>
      <c r="N129" s="395"/>
      <c r="O129" s="398"/>
      <c r="P129" s="401"/>
      <c r="Q129" s="404"/>
      <c r="R129" s="363"/>
      <c r="S129" s="363"/>
      <c r="T129" s="363"/>
      <c r="U129" s="363"/>
      <c r="V129" s="363"/>
      <c r="W129" s="363"/>
      <c r="X129" s="363"/>
      <c r="Y129" s="363"/>
      <c r="Z129" s="363"/>
      <c r="AA129" s="363"/>
      <c r="AB129" s="363"/>
      <c r="AC129" s="363"/>
      <c r="AD129" s="363"/>
      <c r="AE129" s="279" t="s">
        <v>379</v>
      </c>
      <c r="AF129" s="203"/>
      <c r="AG129" s="223" t="s">
        <v>24</v>
      </c>
      <c r="AH129" s="223"/>
      <c r="AI129" s="223"/>
      <c r="AJ129" s="223"/>
      <c r="AK129" s="223"/>
      <c r="AL129" s="223"/>
      <c r="AM129" s="223"/>
      <c r="AN129" s="223"/>
      <c r="AO129" s="223"/>
      <c r="AP129" s="168"/>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70"/>
      <c r="BO129" s="251"/>
      <c r="BP129" s="364"/>
      <c r="BQ129" s="364"/>
      <c r="BR129" s="364"/>
      <c r="BS129" s="250"/>
      <c r="BT129" s="364"/>
      <c r="BU129" s="364"/>
      <c r="BV129" s="364"/>
      <c r="BW129" s="364"/>
      <c r="BX129" s="364"/>
      <c r="BY129" s="250"/>
    </row>
    <row r="130" spans="3:78" ht="15" customHeight="1" thickBot="1">
      <c r="C130" s="307"/>
      <c r="D130" s="368"/>
      <c r="E130" s="371"/>
      <c r="F130" s="407"/>
      <c r="G130" s="377"/>
      <c r="H130" s="380"/>
      <c r="I130" s="383"/>
      <c r="J130" s="383"/>
      <c r="K130" s="386"/>
      <c r="L130" s="389"/>
      <c r="M130" s="392"/>
      <c r="N130" s="280" t="s">
        <v>380</v>
      </c>
      <c r="O130" s="212"/>
      <c r="P130" s="365" t="s">
        <v>154</v>
      </c>
      <c r="Q130" s="365"/>
      <c r="R130" s="171"/>
      <c r="S130" s="171"/>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7"/>
      <c r="BO130" s="251"/>
      <c r="BP130" s="250"/>
      <c r="BQ130" s="250"/>
      <c r="BR130" s="250"/>
      <c r="BS130" s="250"/>
      <c r="BT130" s="250"/>
      <c r="BU130" s="250"/>
      <c r="BY130" s="250"/>
    </row>
    <row r="131" spans="3:78" ht="11.25" customHeight="1">
      <c r="C131" s="97" t="s">
        <v>1240</v>
      </c>
      <c r="D131" s="366" t="s">
        <v>1278</v>
      </c>
      <c r="E131" s="369" t="s">
        <v>199</v>
      </c>
      <c r="F131" s="405" t="s">
        <v>210</v>
      </c>
      <c r="G131" s="375" t="s">
        <v>1294</v>
      </c>
      <c r="H131" s="378" t="s">
        <v>715</v>
      </c>
      <c r="I131" s="381" t="s">
        <v>715</v>
      </c>
      <c r="J131" s="381" t="s">
        <v>716</v>
      </c>
      <c r="K131" s="384">
        <v>1</v>
      </c>
      <c r="L131" s="387" t="s">
        <v>5</v>
      </c>
      <c r="M131" s="390">
        <v>0</v>
      </c>
      <c r="N131" s="163"/>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1"/>
      <c r="AY131" s="161"/>
      <c r="AZ131" s="161"/>
      <c r="BA131" s="161"/>
      <c r="BB131" s="161"/>
      <c r="BC131" s="161"/>
      <c r="BD131" s="161"/>
      <c r="BE131" s="161"/>
      <c r="BF131" s="161"/>
      <c r="BG131" s="161"/>
      <c r="BH131" s="161"/>
      <c r="BI131" s="161"/>
      <c r="BJ131" s="161"/>
      <c r="BK131" s="161"/>
      <c r="BL131" s="161"/>
      <c r="BM131" s="161"/>
      <c r="BN131" s="162"/>
      <c r="BO131" s="251"/>
      <c r="BP131" s="250"/>
      <c r="BQ131" s="250"/>
      <c r="BR131" s="250"/>
      <c r="BS131" s="250"/>
      <c r="BT131" s="250"/>
      <c r="BU131" s="250"/>
      <c r="BY131" s="250"/>
    </row>
    <row r="132" spans="3:78" ht="11.25" customHeight="1">
      <c r="C132" s="306"/>
      <c r="D132" s="367"/>
      <c r="E132" s="370"/>
      <c r="F132" s="406"/>
      <c r="G132" s="376"/>
      <c r="H132" s="379"/>
      <c r="I132" s="382"/>
      <c r="J132" s="382"/>
      <c r="K132" s="385"/>
      <c r="L132" s="388"/>
      <c r="M132" s="391"/>
      <c r="N132" s="393"/>
      <c r="O132" s="396">
        <v>1</v>
      </c>
      <c r="P132" s="399" t="s">
        <v>1297</v>
      </c>
      <c r="Q132" s="402"/>
      <c r="R132" s="361" t="s">
        <v>154</v>
      </c>
      <c r="S132" s="361" t="s">
        <v>154</v>
      </c>
      <c r="T132" s="361" t="s">
        <v>154</v>
      </c>
      <c r="U132" s="361" t="s">
        <v>154</v>
      </c>
      <c r="V132" s="361" t="s">
        <v>154</v>
      </c>
      <c r="W132" s="361" t="s">
        <v>154</v>
      </c>
      <c r="X132" s="361" t="s">
        <v>154</v>
      </c>
      <c r="Y132" s="361" t="s">
        <v>154</v>
      </c>
      <c r="Z132" s="361" t="s">
        <v>154</v>
      </c>
      <c r="AA132" s="361" t="s">
        <v>154</v>
      </c>
      <c r="AB132" s="361" t="s">
        <v>154</v>
      </c>
      <c r="AC132" s="361" t="s">
        <v>154</v>
      </c>
      <c r="AD132" s="361" t="s">
        <v>154</v>
      </c>
      <c r="AE132" s="209"/>
      <c r="AF132" s="220">
        <v>0</v>
      </c>
      <c r="AG132" s="219" t="s">
        <v>308</v>
      </c>
      <c r="AH132" s="219"/>
      <c r="AI132" s="219"/>
      <c r="AJ132" s="219"/>
      <c r="AK132" s="219"/>
      <c r="AL132" s="219"/>
      <c r="AM132" s="219"/>
      <c r="AN132" s="219"/>
      <c r="AO132" s="219"/>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5"/>
      <c r="BO132" s="251"/>
      <c r="BP132" s="364" t="s">
        <v>1298</v>
      </c>
      <c r="BQ132" s="364" t="s">
        <v>1298</v>
      </c>
      <c r="BR132" s="364" t="s">
        <v>1298</v>
      </c>
      <c r="BS132" s="250"/>
      <c r="BT132" s="364" t="s">
        <v>1298</v>
      </c>
      <c r="BU132" s="364" t="s">
        <v>1298</v>
      </c>
      <c r="BV132" s="364" t="s">
        <v>1298</v>
      </c>
      <c r="BW132" s="364" t="s">
        <v>1298</v>
      </c>
      <c r="BX132" s="364" t="s">
        <v>1298</v>
      </c>
      <c r="BY132" s="250"/>
    </row>
    <row r="133" spans="3:78" ht="14.25">
      <c r="C133" s="306"/>
      <c r="D133" s="367"/>
      <c r="E133" s="370"/>
      <c r="F133" s="406"/>
      <c r="G133" s="376"/>
      <c r="H133" s="379"/>
      <c r="I133" s="382"/>
      <c r="J133" s="382"/>
      <c r="K133" s="385"/>
      <c r="L133" s="388"/>
      <c r="M133" s="391"/>
      <c r="N133" s="394"/>
      <c r="O133" s="397"/>
      <c r="P133" s="400"/>
      <c r="Q133" s="403"/>
      <c r="R133" s="362"/>
      <c r="S133" s="362"/>
      <c r="T133" s="362"/>
      <c r="U133" s="362"/>
      <c r="V133" s="362"/>
      <c r="W133" s="362"/>
      <c r="X133" s="362"/>
      <c r="Y133" s="362"/>
      <c r="Z133" s="362"/>
      <c r="AA133" s="362"/>
      <c r="AB133" s="362"/>
      <c r="AC133" s="362"/>
      <c r="AD133" s="362"/>
      <c r="AE133" s="193"/>
      <c r="AF133" s="217" t="s">
        <v>268</v>
      </c>
      <c r="AG133" s="196" t="s">
        <v>226</v>
      </c>
      <c r="AH133" s="300" t="s">
        <v>19</v>
      </c>
      <c r="AI133" s="301" t="s">
        <v>154</v>
      </c>
      <c r="AJ133" s="221"/>
      <c r="AK133" s="221"/>
      <c r="AL133" s="221"/>
      <c r="AM133" s="221"/>
      <c r="AN133" s="221"/>
      <c r="AO133" s="221"/>
      <c r="AP133" s="302" t="s">
        <v>19</v>
      </c>
      <c r="AQ133" s="195">
        <f>SUM(AT133,AW133,AZ133,BC133,BF133,BI133,BL133)</f>
        <v>186769.79821674622</v>
      </c>
      <c r="AR133" s="197">
        <f>SUM(AT133,AX133,BA133,BD133,BG133,BJ133,BM133)</f>
        <v>0</v>
      </c>
      <c r="AS133" s="195">
        <f>AQ133-AR133</f>
        <v>186769.79821674622</v>
      </c>
      <c r="AT133" s="312"/>
      <c r="AU133" s="312"/>
      <c r="AV133" s="244"/>
      <c r="AW133" s="159"/>
      <c r="AX133" s="312"/>
      <c r="AY133" s="194">
        <f>AW133-AX133</f>
        <v>0</v>
      </c>
      <c r="AZ133" s="160"/>
      <c r="BA133" s="312"/>
      <c r="BB133" s="194">
        <f>AZ133-BA133</f>
        <v>0</v>
      </c>
      <c r="BC133" s="159">
        <v>186769.79821674622</v>
      </c>
      <c r="BD133" s="312"/>
      <c r="BE133" s="194">
        <f>BC133-BD133</f>
        <v>186769.79821674622</v>
      </c>
      <c r="BF133" s="159"/>
      <c r="BG133" s="244"/>
      <c r="BH133" s="194">
        <f>BF133-BG133</f>
        <v>0</v>
      </c>
      <c r="BI133" s="159"/>
      <c r="BJ133" s="244"/>
      <c r="BK133" s="194">
        <f>BI133-BJ133</f>
        <v>0</v>
      </c>
      <c r="BL133" s="312"/>
      <c r="BM133" s="312"/>
      <c r="BN133" s="195">
        <f>BL133-BM133</f>
        <v>0</v>
      </c>
      <c r="BO133" s="251">
        <v>0</v>
      </c>
      <c r="BP133" s="364"/>
      <c r="BQ133" s="364"/>
      <c r="BR133" s="364"/>
      <c r="BS133" s="249" t="str">
        <f>AG133 &amp; BO133</f>
        <v>Кредиты0</v>
      </c>
      <c r="BT133" s="364"/>
      <c r="BU133" s="364"/>
      <c r="BV133" s="364"/>
      <c r="BW133" s="364"/>
      <c r="BX133" s="364"/>
      <c r="BY133" s="249" t="str">
        <f>AG133&amp;AH133</f>
        <v>Кредитынет</v>
      </c>
      <c r="BZ133" s="250"/>
    </row>
    <row r="134" spans="3:78" ht="14.25">
      <c r="C134" s="97"/>
      <c r="D134" s="367"/>
      <c r="E134" s="370"/>
      <c r="F134" s="406"/>
      <c r="G134" s="376"/>
      <c r="H134" s="379"/>
      <c r="I134" s="382"/>
      <c r="J134" s="382"/>
      <c r="K134" s="385"/>
      <c r="L134" s="388"/>
      <c r="M134" s="391"/>
      <c r="N134" s="394"/>
      <c r="O134" s="397"/>
      <c r="P134" s="400"/>
      <c r="Q134" s="403"/>
      <c r="R134" s="362"/>
      <c r="S134" s="362"/>
      <c r="T134" s="362"/>
      <c r="U134" s="362"/>
      <c r="V134" s="362"/>
      <c r="W134" s="362"/>
      <c r="X134" s="362"/>
      <c r="Y134" s="362"/>
      <c r="Z134" s="362"/>
      <c r="AA134" s="362"/>
      <c r="AB134" s="362"/>
      <c r="AC134" s="362"/>
      <c r="AD134" s="362"/>
      <c r="AE134" s="322" t="s">
        <v>1240</v>
      </c>
      <c r="AF134" s="217" t="s">
        <v>118</v>
      </c>
      <c r="AG134" s="196" t="s">
        <v>230</v>
      </c>
      <c r="AH134" s="302" t="s">
        <v>19</v>
      </c>
      <c r="AI134" s="301" t="s">
        <v>154</v>
      </c>
      <c r="AJ134" s="221"/>
      <c r="AK134" s="221"/>
      <c r="AL134" s="221"/>
      <c r="AM134" s="221"/>
      <c r="AN134" s="221"/>
      <c r="AO134" s="221"/>
      <c r="AP134" s="302" t="s">
        <v>19</v>
      </c>
      <c r="AQ134" s="195">
        <f>SUM(AT134,AW134,AZ134,BC134,BF134,BI134,BL134)</f>
        <v>37353.95964334879</v>
      </c>
      <c r="AR134" s="197">
        <f>SUM(AT134,AX134,BA134,BD134,BG134,BJ134,BM134)</f>
        <v>0</v>
      </c>
      <c r="AS134" s="195">
        <f>AQ134-AR134</f>
        <v>37353.95964334879</v>
      </c>
      <c r="AT134" s="315"/>
      <c r="AU134" s="315"/>
      <c r="AV134" s="241"/>
      <c r="AW134" s="198"/>
      <c r="AX134" s="313"/>
      <c r="AY134" s="199">
        <f>AW134-AX134</f>
        <v>0</v>
      </c>
      <c r="AZ134" s="173"/>
      <c r="BA134" s="313"/>
      <c r="BB134" s="199">
        <f>AZ134-BA134</f>
        <v>0</v>
      </c>
      <c r="BC134" s="198">
        <f>224123.757860095-BC133</f>
        <v>37353.95964334879</v>
      </c>
      <c r="BD134" s="313"/>
      <c r="BE134" s="199">
        <f>BC134-BD134</f>
        <v>37353.95964334879</v>
      </c>
      <c r="BF134" s="198"/>
      <c r="BG134" s="241"/>
      <c r="BH134" s="199">
        <f>BF134-BG134</f>
        <v>0</v>
      </c>
      <c r="BI134" s="198"/>
      <c r="BJ134" s="241"/>
      <c r="BK134" s="199">
        <f>BI134-BJ134</f>
        <v>0</v>
      </c>
      <c r="BL134" s="313"/>
      <c r="BM134" s="313"/>
      <c r="BN134" s="195">
        <f>BL134-BM134</f>
        <v>0</v>
      </c>
      <c r="BO134" s="251">
        <v>0</v>
      </c>
      <c r="BP134" s="364"/>
      <c r="BQ134" s="364"/>
      <c r="BR134" s="364"/>
      <c r="BS134" s="249" t="str">
        <f>AG134 &amp; BO134</f>
        <v>Прочие привлеченные средства0</v>
      </c>
      <c r="BT134" s="364"/>
      <c r="BU134" s="364"/>
      <c r="BV134" s="364"/>
      <c r="BW134" s="364"/>
      <c r="BX134" s="364"/>
      <c r="BY134" s="249" t="str">
        <f>AG134&amp;AH134</f>
        <v>Прочие привлеченные средстванет</v>
      </c>
      <c r="BZ134" s="250"/>
    </row>
    <row r="135" spans="3:78" ht="15" customHeight="1">
      <c r="C135" s="306"/>
      <c r="D135" s="367"/>
      <c r="E135" s="370"/>
      <c r="F135" s="406"/>
      <c r="G135" s="376"/>
      <c r="H135" s="379"/>
      <c r="I135" s="382"/>
      <c r="J135" s="382"/>
      <c r="K135" s="385"/>
      <c r="L135" s="388"/>
      <c r="M135" s="391"/>
      <c r="N135" s="395"/>
      <c r="O135" s="398"/>
      <c r="P135" s="401"/>
      <c r="Q135" s="404"/>
      <c r="R135" s="363"/>
      <c r="S135" s="363"/>
      <c r="T135" s="363"/>
      <c r="U135" s="363"/>
      <c r="V135" s="363"/>
      <c r="W135" s="363"/>
      <c r="X135" s="363"/>
      <c r="Y135" s="363"/>
      <c r="Z135" s="363"/>
      <c r="AA135" s="363"/>
      <c r="AB135" s="363"/>
      <c r="AC135" s="363"/>
      <c r="AD135" s="363"/>
      <c r="AE135" s="279" t="s">
        <v>379</v>
      </c>
      <c r="AF135" s="203"/>
      <c r="AG135" s="223" t="s">
        <v>24</v>
      </c>
      <c r="AH135" s="223"/>
      <c r="AI135" s="223"/>
      <c r="AJ135" s="223"/>
      <c r="AK135" s="223"/>
      <c r="AL135" s="223"/>
      <c r="AM135" s="223"/>
      <c r="AN135" s="223"/>
      <c r="AO135" s="223"/>
      <c r="AP135" s="168"/>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70"/>
      <c r="BO135" s="251"/>
      <c r="BP135" s="364"/>
      <c r="BQ135" s="364"/>
      <c r="BR135" s="364"/>
      <c r="BS135" s="250"/>
      <c r="BT135" s="364"/>
      <c r="BU135" s="364"/>
      <c r="BV135" s="364"/>
      <c r="BW135" s="364"/>
      <c r="BX135" s="364"/>
      <c r="BY135" s="250"/>
    </row>
    <row r="136" spans="3:78" ht="15" customHeight="1" thickBot="1">
      <c r="C136" s="307"/>
      <c r="D136" s="368"/>
      <c r="E136" s="371"/>
      <c r="F136" s="407"/>
      <c r="G136" s="377"/>
      <c r="H136" s="380"/>
      <c r="I136" s="383"/>
      <c r="J136" s="383"/>
      <c r="K136" s="386"/>
      <c r="L136" s="389"/>
      <c r="M136" s="392"/>
      <c r="N136" s="280" t="s">
        <v>380</v>
      </c>
      <c r="O136" s="212"/>
      <c r="P136" s="365" t="s">
        <v>154</v>
      </c>
      <c r="Q136" s="365"/>
      <c r="R136" s="171"/>
      <c r="S136" s="171"/>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7"/>
      <c r="BO136" s="251"/>
      <c r="BP136" s="250"/>
      <c r="BQ136" s="250"/>
      <c r="BR136" s="250"/>
      <c r="BS136" s="250"/>
      <c r="BT136" s="250"/>
      <c r="BU136" s="250"/>
      <c r="BY136" s="250"/>
    </row>
    <row r="137" spans="3:78" ht="11.25" customHeight="1">
      <c r="C137" s="97" t="s">
        <v>1240</v>
      </c>
      <c r="D137" s="366" t="s">
        <v>1279</v>
      </c>
      <c r="E137" s="369" t="s">
        <v>199</v>
      </c>
      <c r="F137" s="405" t="s">
        <v>210</v>
      </c>
      <c r="G137" s="375" t="s">
        <v>1295</v>
      </c>
      <c r="H137" s="378" t="s">
        <v>715</v>
      </c>
      <c r="I137" s="381" t="s">
        <v>715</v>
      </c>
      <c r="J137" s="381" t="s">
        <v>716</v>
      </c>
      <c r="K137" s="384">
        <v>2</v>
      </c>
      <c r="L137" s="387" t="s">
        <v>4</v>
      </c>
      <c r="M137" s="390">
        <v>0</v>
      </c>
      <c r="N137" s="163"/>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2"/>
      <c r="BO137" s="251"/>
      <c r="BP137" s="250"/>
      <c r="BQ137" s="250"/>
      <c r="BR137" s="250"/>
      <c r="BS137" s="250"/>
      <c r="BT137" s="250"/>
      <c r="BU137" s="250"/>
      <c r="BY137" s="250"/>
    </row>
    <row r="138" spans="3:78" ht="11.25" customHeight="1">
      <c r="C138" s="306"/>
      <c r="D138" s="367"/>
      <c r="E138" s="370"/>
      <c r="F138" s="406"/>
      <c r="G138" s="376"/>
      <c r="H138" s="379"/>
      <c r="I138" s="382"/>
      <c r="J138" s="382"/>
      <c r="K138" s="385"/>
      <c r="L138" s="388"/>
      <c r="M138" s="391"/>
      <c r="N138" s="393"/>
      <c r="O138" s="396">
        <v>1</v>
      </c>
      <c r="P138" s="399" t="s">
        <v>1297</v>
      </c>
      <c r="Q138" s="402"/>
      <c r="R138" s="361" t="s">
        <v>154</v>
      </c>
      <c r="S138" s="361" t="s">
        <v>154</v>
      </c>
      <c r="T138" s="361" t="s">
        <v>154</v>
      </c>
      <c r="U138" s="361" t="s">
        <v>154</v>
      </c>
      <c r="V138" s="361" t="s">
        <v>154</v>
      </c>
      <c r="W138" s="361" t="s">
        <v>154</v>
      </c>
      <c r="X138" s="361" t="s">
        <v>154</v>
      </c>
      <c r="Y138" s="361" t="s">
        <v>154</v>
      </c>
      <c r="Z138" s="361" t="s">
        <v>154</v>
      </c>
      <c r="AA138" s="361" t="s">
        <v>154</v>
      </c>
      <c r="AB138" s="361" t="s">
        <v>154</v>
      </c>
      <c r="AC138" s="361" t="s">
        <v>154</v>
      </c>
      <c r="AD138" s="361" t="s">
        <v>154</v>
      </c>
      <c r="AE138" s="209"/>
      <c r="AF138" s="220">
        <v>0</v>
      </c>
      <c r="AG138" s="219" t="s">
        <v>308</v>
      </c>
      <c r="AH138" s="219"/>
      <c r="AI138" s="219"/>
      <c r="AJ138" s="219"/>
      <c r="AK138" s="219"/>
      <c r="AL138" s="219"/>
      <c r="AM138" s="219"/>
      <c r="AN138" s="219"/>
      <c r="AO138" s="219"/>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5"/>
      <c r="BO138" s="251"/>
      <c r="BP138" s="364" t="s">
        <v>1298</v>
      </c>
      <c r="BQ138" s="364" t="s">
        <v>1298</v>
      </c>
      <c r="BR138" s="364" t="s">
        <v>1298</v>
      </c>
      <c r="BS138" s="250"/>
      <c r="BT138" s="364" t="s">
        <v>1298</v>
      </c>
      <c r="BU138" s="364" t="s">
        <v>1298</v>
      </c>
      <c r="BV138" s="364" t="s">
        <v>1298</v>
      </c>
      <c r="BW138" s="364" t="s">
        <v>1298</v>
      </c>
      <c r="BX138" s="364" t="s">
        <v>1298</v>
      </c>
      <c r="BY138" s="250"/>
    </row>
    <row r="139" spans="3:78" ht="14.25">
      <c r="C139" s="306"/>
      <c r="D139" s="367"/>
      <c r="E139" s="370"/>
      <c r="F139" s="406"/>
      <c r="G139" s="376"/>
      <c r="H139" s="379"/>
      <c r="I139" s="382"/>
      <c r="J139" s="382"/>
      <c r="K139" s="385"/>
      <c r="L139" s="388"/>
      <c r="M139" s="391"/>
      <c r="N139" s="394"/>
      <c r="O139" s="397"/>
      <c r="P139" s="400"/>
      <c r="Q139" s="403"/>
      <c r="R139" s="362"/>
      <c r="S139" s="362"/>
      <c r="T139" s="362"/>
      <c r="U139" s="362"/>
      <c r="V139" s="362"/>
      <c r="W139" s="362"/>
      <c r="X139" s="362"/>
      <c r="Y139" s="362"/>
      <c r="Z139" s="362"/>
      <c r="AA139" s="362"/>
      <c r="AB139" s="362"/>
      <c r="AC139" s="362"/>
      <c r="AD139" s="362"/>
      <c r="AE139" s="193"/>
      <c r="AF139" s="217" t="s">
        <v>268</v>
      </c>
      <c r="AG139" s="158" t="s">
        <v>240</v>
      </c>
      <c r="AH139" s="300" t="s">
        <v>19</v>
      </c>
      <c r="AI139" s="301" t="s">
        <v>154</v>
      </c>
      <c r="AJ139" s="221"/>
      <c r="AK139" s="221"/>
      <c r="AL139" s="221"/>
      <c r="AM139" s="221"/>
      <c r="AN139" s="221"/>
      <c r="AO139" s="221"/>
      <c r="AP139" s="302" t="s">
        <v>19</v>
      </c>
      <c r="AQ139" s="195">
        <f>SUM(AT139,AW139,AZ139,BC139,BF139,BI139,BL139)</f>
        <v>526.86476973000003</v>
      </c>
      <c r="AR139" s="197">
        <f>SUM(AT139,AX139,BA139,BD139,BG139,BJ139,BM139)</f>
        <v>0</v>
      </c>
      <c r="AS139" s="195">
        <f>AQ139-AR139</f>
        <v>526.86476973000003</v>
      </c>
      <c r="AT139" s="312"/>
      <c r="AU139" s="312"/>
      <c r="AV139" s="244"/>
      <c r="AW139" s="159">
        <v>526.86476973000003</v>
      </c>
      <c r="AX139" s="312"/>
      <c r="AY139" s="194">
        <f>AW139-AX139</f>
        <v>526.86476973000003</v>
      </c>
      <c r="AZ139" s="160"/>
      <c r="BA139" s="312"/>
      <c r="BB139" s="194">
        <f>AZ139-BA139</f>
        <v>0</v>
      </c>
      <c r="BC139" s="159"/>
      <c r="BD139" s="312"/>
      <c r="BE139" s="194">
        <f>BC139-BD139</f>
        <v>0</v>
      </c>
      <c r="BF139" s="159"/>
      <c r="BG139" s="244"/>
      <c r="BH139" s="194">
        <f>BF139-BG139</f>
        <v>0</v>
      </c>
      <c r="BI139" s="159"/>
      <c r="BJ139" s="244"/>
      <c r="BK139" s="194">
        <f>BI139-BJ139</f>
        <v>0</v>
      </c>
      <c r="BL139" s="312"/>
      <c r="BM139" s="312"/>
      <c r="BN139" s="195">
        <f>BL139-BM139</f>
        <v>0</v>
      </c>
      <c r="BO139" s="251">
        <v>0</v>
      </c>
      <c r="BP139" s="364"/>
      <c r="BQ139" s="364"/>
      <c r="BR139" s="364"/>
      <c r="BS139" s="249" t="str">
        <f>AG139 &amp; BO139</f>
        <v>Прибыль направляемая на инвестиции0</v>
      </c>
      <c r="BT139" s="364"/>
      <c r="BU139" s="364"/>
      <c r="BV139" s="364"/>
      <c r="BW139" s="364"/>
      <c r="BX139" s="364"/>
      <c r="BY139" s="249" t="str">
        <f>AG139&amp;AH139</f>
        <v>Прибыль направляемая на инвестициинет</v>
      </c>
      <c r="BZ139" s="250"/>
    </row>
    <row r="140" spans="3:78" ht="14.25">
      <c r="C140" s="97"/>
      <c r="D140" s="367"/>
      <c r="E140" s="370"/>
      <c r="F140" s="406"/>
      <c r="G140" s="376"/>
      <c r="H140" s="379"/>
      <c r="I140" s="382"/>
      <c r="J140" s="382"/>
      <c r="K140" s="385"/>
      <c r="L140" s="388"/>
      <c r="M140" s="391"/>
      <c r="N140" s="394"/>
      <c r="O140" s="397"/>
      <c r="P140" s="400"/>
      <c r="Q140" s="403"/>
      <c r="R140" s="362"/>
      <c r="S140" s="362"/>
      <c r="T140" s="362"/>
      <c r="U140" s="362"/>
      <c r="V140" s="362"/>
      <c r="W140" s="362"/>
      <c r="X140" s="362"/>
      <c r="Y140" s="362"/>
      <c r="Z140" s="362"/>
      <c r="AA140" s="362"/>
      <c r="AB140" s="362"/>
      <c r="AC140" s="362"/>
      <c r="AD140" s="362"/>
      <c r="AE140" s="322" t="s">
        <v>1240</v>
      </c>
      <c r="AF140" s="217" t="s">
        <v>118</v>
      </c>
      <c r="AG140" s="196" t="s">
        <v>223</v>
      </c>
      <c r="AH140" s="302" t="s">
        <v>19</v>
      </c>
      <c r="AI140" s="301" t="s">
        <v>154</v>
      </c>
      <c r="AJ140" s="221"/>
      <c r="AK140" s="221"/>
      <c r="AL140" s="221"/>
      <c r="AM140" s="221"/>
      <c r="AN140" s="221"/>
      <c r="AO140" s="221"/>
      <c r="AP140" s="302" t="s">
        <v>19</v>
      </c>
      <c r="AQ140" s="195">
        <f>SUM(AT140,AW140,AZ140,BC140,BF140,BI140,BL140)</f>
        <v>105.37295394599994</v>
      </c>
      <c r="AR140" s="197">
        <f>SUM(AT140,AX140,BA140,BD140,BG140,BJ140,BM140)</f>
        <v>0</v>
      </c>
      <c r="AS140" s="195">
        <f>AQ140-AR140</f>
        <v>105.37295394599994</v>
      </c>
      <c r="AT140" s="315"/>
      <c r="AU140" s="315"/>
      <c r="AV140" s="241"/>
      <c r="AW140" s="198">
        <f>632.237723676-AW139</f>
        <v>105.37295394599994</v>
      </c>
      <c r="AX140" s="313"/>
      <c r="AY140" s="199">
        <f>AW140-AX140</f>
        <v>105.37295394599994</v>
      </c>
      <c r="AZ140" s="173"/>
      <c r="BA140" s="313"/>
      <c r="BB140" s="199">
        <f>AZ140-BA140</f>
        <v>0</v>
      </c>
      <c r="BC140" s="198"/>
      <c r="BD140" s="313"/>
      <c r="BE140" s="199">
        <f>BC140-BD140</f>
        <v>0</v>
      </c>
      <c r="BF140" s="198"/>
      <c r="BG140" s="241"/>
      <c r="BH140" s="199">
        <f>BF140-BG140</f>
        <v>0</v>
      </c>
      <c r="BI140" s="198"/>
      <c r="BJ140" s="241"/>
      <c r="BK140" s="199">
        <f>BI140-BJ140</f>
        <v>0</v>
      </c>
      <c r="BL140" s="313"/>
      <c r="BM140" s="313"/>
      <c r="BN140" s="195">
        <f>BL140-BM140</f>
        <v>0</v>
      </c>
      <c r="BO140" s="251">
        <v>0</v>
      </c>
      <c r="BP140" s="364"/>
      <c r="BQ140" s="364"/>
      <c r="BR140" s="364"/>
      <c r="BS140" s="249" t="str">
        <f>AG140 &amp; BO140</f>
        <v>Прочие собственные средства0</v>
      </c>
      <c r="BT140" s="364"/>
      <c r="BU140" s="364"/>
      <c r="BV140" s="364"/>
      <c r="BW140" s="364"/>
      <c r="BX140" s="364"/>
      <c r="BY140" s="249" t="str">
        <f>AG140&amp;AH140</f>
        <v>Прочие собственные средстванет</v>
      </c>
      <c r="BZ140" s="250"/>
    </row>
    <row r="141" spans="3:78" ht="14.25">
      <c r="C141" s="97"/>
      <c r="D141" s="367"/>
      <c r="E141" s="370"/>
      <c r="F141" s="406"/>
      <c r="G141" s="376"/>
      <c r="H141" s="379"/>
      <c r="I141" s="382"/>
      <c r="J141" s="382"/>
      <c r="K141" s="385"/>
      <c r="L141" s="388"/>
      <c r="M141" s="391"/>
      <c r="N141" s="394"/>
      <c r="O141" s="397"/>
      <c r="P141" s="400"/>
      <c r="Q141" s="403"/>
      <c r="R141" s="362"/>
      <c r="S141" s="362"/>
      <c r="T141" s="362"/>
      <c r="U141" s="362"/>
      <c r="V141" s="362"/>
      <c r="W141" s="362"/>
      <c r="X141" s="362"/>
      <c r="Y141" s="362"/>
      <c r="Z141" s="362"/>
      <c r="AA141" s="362"/>
      <c r="AB141" s="362"/>
      <c r="AC141" s="362"/>
      <c r="AD141" s="362"/>
      <c r="AE141" s="322" t="s">
        <v>1240</v>
      </c>
      <c r="AF141" s="217" t="s">
        <v>119</v>
      </c>
      <c r="AG141" s="196" t="s">
        <v>226</v>
      </c>
      <c r="AH141" s="302" t="s">
        <v>19</v>
      </c>
      <c r="AI141" s="301" t="s">
        <v>154</v>
      </c>
      <c r="AJ141" s="221"/>
      <c r="AK141" s="221"/>
      <c r="AL141" s="221"/>
      <c r="AM141" s="221"/>
      <c r="AN141" s="221"/>
      <c r="AO141" s="221"/>
      <c r="AP141" s="302" t="s">
        <v>19</v>
      </c>
      <c r="AQ141" s="195">
        <f>SUM(AT141,AW141,AZ141,BC141,BF141,BI141,BL141)</f>
        <v>25300.66409603303</v>
      </c>
      <c r="AR141" s="197">
        <f>SUM(AT141,AX141,BA141,BD141,BG141,BJ141,BM141)</f>
        <v>0</v>
      </c>
      <c r="AS141" s="195">
        <f>AQ141-AR141</f>
        <v>25300.66409603303</v>
      </c>
      <c r="AT141" s="315"/>
      <c r="AU141" s="315"/>
      <c r="AV141" s="241"/>
      <c r="AW141" s="198"/>
      <c r="AX141" s="313"/>
      <c r="AY141" s="199">
        <f>AW141-AX141</f>
        <v>0</v>
      </c>
      <c r="AZ141" s="173">
        <v>25300.66409603303</v>
      </c>
      <c r="BA141" s="313"/>
      <c r="BB141" s="199">
        <f>AZ141-BA141</f>
        <v>25300.66409603303</v>
      </c>
      <c r="BC141" s="198"/>
      <c r="BD141" s="313"/>
      <c r="BE141" s="199">
        <f>BC141-BD141</f>
        <v>0</v>
      </c>
      <c r="BF141" s="198"/>
      <c r="BG141" s="241"/>
      <c r="BH141" s="199">
        <f>BF141-BG141</f>
        <v>0</v>
      </c>
      <c r="BI141" s="198"/>
      <c r="BJ141" s="241"/>
      <c r="BK141" s="199">
        <f>BI141-BJ141</f>
        <v>0</v>
      </c>
      <c r="BL141" s="313"/>
      <c r="BM141" s="313"/>
      <c r="BN141" s="195">
        <f>BL141-BM141</f>
        <v>0</v>
      </c>
      <c r="BO141" s="251">
        <v>0</v>
      </c>
      <c r="BP141" s="364"/>
      <c r="BQ141" s="364"/>
      <c r="BR141" s="364"/>
      <c r="BS141" s="249" t="str">
        <f>AG141 &amp; BO141</f>
        <v>Кредиты0</v>
      </c>
      <c r="BT141" s="364"/>
      <c r="BU141" s="364"/>
      <c r="BV141" s="364"/>
      <c r="BW141" s="364"/>
      <c r="BX141" s="364"/>
      <c r="BY141" s="249" t="str">
        <f>AG141&amp;AH141</f>
        <v>Кредитынет</v>
      </c>
      <c r="BZ141" s="250"/>
    </row>
    <row r="142" spans="3:78" ht="14.25">
      <c r="C142" s="97"/>
      <c r="D142" s="367"/>
      <c r="E142" s="370"/>
      <c r="F142" s="406"/>
      <c r="G142" s="376"/>
      <c r="H142" s="379"/>
      <c r="I142" s="382"/>
      <c r="J142" s="382"/>
      <c r="K142" s="385"/>
      <c r="L142" s="388"/>
      <c r="M142" s="391"/>
      <c r="N142" s="394"/>
      <c r="O142" s="397"/>
      <c r="P142" s="400"/>
      <c r="Q142" s="403"/>
      <c r="R142" s="362"/>
      <c r="S142" s="362"/>
      <c r="T142" s="362"/>
      <c r="U142" s="362"/>
      <c r="V142" s="362"/>
      <c r="W142" s="362"/>
      <c r="X142" s="362"/>
      <c r="Y142" s="362"/>
      <c r="Z142" s="362"/>
      <c r="AA142" s="362"/>
      <c r="AB142" s="362"/>
      <c r="AC142" s="362"/>
      <c r="AD142" s="362"/>
      <c r="AE142" s="322" t="s">
        <v>1240</v>
      </c>
      <c r="AF142" s="217" t="s">
        <v>120</v>
      </c>
      <c r="AG142" s="196" t="s">
        <v>230</v>
      </c>
      <c r="AH142" s="302" t="s">
        <v>19</v>
      </c>
      <c r="AI142" s="301" t="s">
        <v>154</v>
      </c>
      <c r="AJ142" s="221"/>
      <c r="AK142" s="221"/>
      <c r="AL142" s="221"/>
      <c r="AM142" s="221"/>
      <c r="AN142" s="221"/>
      <c r="AO142" s="221"/>
      <c r="AP142" s="302" t="s">
        <v>19</v>
      </c>
      <c r="AQ142" s="195">
        <f>SUM(AT142,AW142,AZ142,BC142,BF142,BI142,BL142)</f>
        <v>5060.1328192065703</v>
      </c>
      <c r="AR142" s="197">
        <f>SUM(AT142,AX142,BA142,BD142,BG142,BJ142,BM142)</f>
        <v>0</v>
      </c>
      <c r="AS142" s="195">
        <f>AQ142-AR142</f>
        <v>5060.1328192065703</v>
      </c>
      <c r="AT142" s="315"/>
      <c r="AU142" s="315"/>
      <c r="AV142" s="241"/>
      <c r="AW142" s="198"/>
      <c r="AX142" s="313"/>
      <c r="AY142" s="199">
        <f>AW142-AX142</f>
        <v>0</v>
      </c>
      <c r="AZ142" s="173">
        <f>30360.7969152396-AZ141</f>
        <v>5060.1328192065703</v>
      </c>
      <c r="BA142" s="313"/>
      <c r="BB142" s="199">
        <f>AZ142-BA142</f>
        <v>5060.1328192065703</v>
      </c>
      <c r="BC142" s="198"/>
      <c r="BD142" s="313"/>
      <c r="BE142" s="199">
        <f>BC142-BD142</f>
        <v>0</v>
      </c>
      <c r="BF142" s="198"/>
      <c r="BG142" s="241"/>
      <c r="BH142" s="199">
        <f>BF142-BG142</f>
        <v>0</v>
      </c>
      <c r="BI142" s="198"/>
      <c r="BJ142" s="241"/>
      <c r="BK142" s="199">
        <f>BI142-BJ142</f>
        <v>0</v>
      </c>
      <c r="BL142" s="313"/>
      <c r="BM142" s="313"/>
      <c r="BN142" s="195">
        <f>BL142-BM142</f>
        <v>0</v>
      </c>
      <c r="BO142" s="251">
        <v>0</v>
      </c>
      <c r="BP142" s="364"/>
      <c r="BQ142" s="364"/>
      <c r="BR142" s="364"/>
      <c r="BS142" s="249" t="str">
        <f>AG142 &amp; BO142</f>
        <v>Прочие привлеченные средства0</v>
      </c>
      <c r="BT142" s="364"/>
      <c r="BU142" s="364"/>
      <c r="BV142" s="364"/>
      <c r="BW142" s="364"/>
      <c r="BX142" s="364"/>
      <c r="BY142" s="249" t="str">
        <f>AG142&amp;AH142</f>
        <v>Прочие привлеченные средстванет</v>
      </c>
      <c r="BZ142" s="250"/>
    </row>
    <row r="143" spans="3:78" ht="15" customHeight="1">
      <c r="C143" s="306"/>
      <c r="D143" s="367"/>
      <c r="E143" s="370"/>
      <c r="F143" s="406"/>
      <c r="G143" s="376"/>
      <c r="H143" s="379"/>
      <c r="I143" s="382"/>
      <c r="J143" s="382"/>
      <c r="K143" s="385"/>
      <c r="L143" s="388"/>
      <c r="M143" s="391"/>
      <c r="N143" s="395"/>
      <c r="O143" s="398"/>
      <c r="P143" s="401"/>
      <c r="Q143" s="404"/>
      <c r="R143" s="363"/>
      <c r="S143" s="363"/>
      <c r="T143" s="363"/>
      <c r="U143" s="363"/>
      <c r="V143" s="363"/>
      <c r="W143" s="363"/>
      <c r="X143" s="363"/>
      <c r="Y143" s="363"/>
      <c r="Z143" s="363"/>
      <c r="AA143" s="363"/>
      <c r="AB143" s="363"/>
      <c r="AC143" s="363"/>
      <c r="AD143" s="363"/>
      <c r="AE143" s="279" t="s">
        <v>379</v>
      </c>
      <c r="AF143" s="203"/>
      <c r="AG143" s="223" t="s">
        <v>24</v>
      </c>
      <c r="AH143" s="223"/>
      <c r="AI143" s="223"/>
      <c r="AJ143" s="223"/>
      <c r="AK143" s="223"/>
      <c r="AL143" s="223"/>
      <c r="AM143" s="223"/>
      <c r="AN143" s="223"/>
      <c r="AO143" s="223"/>
      <c r="AP143" s="168"/>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70"/>
      <c r="BO143" s="251"/>
      <c r="BP143" s="364"/>
      <c r="BQ143" s="364"/>
      <c r="BR143" s="364"/>
      <c r="BS143" s="250"/>
      <c r="BT143" s="364"/>
      <c r="BU143" s="364"/>
      <c r="BV143" s="364"/>
      <c r="BW143" s="364"/>
      <c r="BX143" s="364"/>
      <c r="BY143" s="250"/>
    </row>
    <row r="144" spans="3:78" ht="15" customHeight="1" thickBot="1">
      <c r="C144" s="307"/>
      <c r="D144" s="368"/>
      <c r="E144" s="371"/>
      <c r="F144" s="407"/>
      <c r="G144" s="377"/>
      <c r="H144" s="380"/>
      <c r="I144" s="383"/>
      <c r="J144" s="383"/>
      <c r="K144" s="386"/>
      <c r="L144" s="389"/>
      <c r="M144" s="392"/>
      <c r="N144" s="280" t="s">
        <v>380</v>
      </c>
      <c r="O144" s="212"/>
      <c r="P144" s="365" t="s">
        <v>154</v>
      </c>
      <c r="Q144" s="365"/>
      <c r="R144" s="171"/>
      <c r="S144" s="171"/>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7"/>
      <c r="BO144" s="251"/>
      <c r="BP144" s="250"/>
      <c r="BQ144" s="250"/>
      <c r="BR144" s="250"/>
      <c r="BS144" s="250"/>
      <c r="BT144" s="250"/>
      <c r="BU144" s="250"/>
      <c r="BY144" s="250"/>
    </row>
    <row r="145" spans="3:78" ht="11.25" customHeight="1">
      <c r="C145" s="97" t="s">
        <v>1240</v>
      </c>
      <c r="D145" s="366" t="s">
        <v>1280</v>
      </c>
      <c r="E145" s="369" t="s">
        <v>199</v>
      </c>
      <c r="F145" s="405" t="s">
        <v>210</v>
      </c>
      <c r="G145" s="375" t="s">
        <v>1296</v>
      </c>
      <c r="H145" s="378" t="s">
        <v>715</v>
      </c>
      <c r="I145" s="381" t="s">
        <v>715</v>
      </c>
      <c r="J145" s="381" t="s">
        <v>716</v>
      </c>
      <c r="K145" s="384">
        <v>2</v>
      </c>
      <c r="L145" s="387" t="s">
        <v>4</v>
      </c>
      <c r="M145" s="390">
        <v>0</v>
      </c>
      <c r="N145" s="163"/>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2"/>
      <c r="BO145" s="251"/>
      <c r="BP145" s="250"/>
      <c r="BQ145" s="250"/>
      <c r="BR145" s="250"/>
      <c r="BS145" s="250"/>
      <c r="BT145" s="250"/>
      <c r="BU145" s="250"/>
      <c r="BY145" s="250"/>
    </row>
    <row r="146" spans="3:78" ht="11.25" customHeight="1">
      <c r="C146" s="306"/>
      <c r="D146" s="367"/>
      <c r="E146" s="370"/>
      <c r="F146" s="406"/>
      <c r="G146" s="376"/>
      <c r="H146" s="379"/>
      <c r="I146" s="382"/>
      <c r="J146" s="382"/>
      <c r="K146" s="385"/>
      <c r="L146" s="388"/>
      <c r="M146" s="391"/>
      <c r="N146" s="393"/>
      <c r="O146" s="396">
        <v>1</v>
      </c>
      <c r="P146" s="399" t="s">
        <v>1297</v>
      </c>
      <c r="Q146" s="402"/>
      <c r="R146" s="361" t="s">
        <v>154</v>
      </c>
      <c r="S146" s="361" t="s">
        <v>154</v>
      </c>
      <c r="T146" s="361" t="s">
        <v>154</v>
      </c>
      <c r="U146" s="361" t="s">
        <v>154</v>
      </c>
      <c r="V146" s="361" t="s">
        <v>154</v>
      </c>
      <c r="W146" s="361" t="s">
        <v>154</v>
      </c>
      <c r="X146" s="361" t="s">
        <v>154</v>
      </c>
      <c r="Y146" s="361" t="s">
        <v>154</v>
      </c>
      <c r="Z146" s="361" t="s">
        <v>154</v>
      </c>
      <c r="AA146" s="361" t="s">
        <v>154</v>
      </c>
      <c r="AB146" s="361" t="s">
        <v>154</v>
      </c>
      <c r="AC146" s="361" t="s">
        <v>154</v>
      </c>
      <c r="AD146" s="361" t="s">
        <v>154</v>
      </c>
      <c r="AE146" s="209"/>
      <c r="AF146" s="220">
        <v>0</v>
      </c>
      <c r="AG146" s="219" t="s">
        <v>308</v>
      </c>
      <c r="AH146" s="219"/>
      <c r="AI146" s="219"/>
      <c r="AJ146" s="219"/>
      <c r="AK146" s="219"/>
      <c r="AL146" s="219"/>
      <c r="AM146" s="219"/>
      <c r="AN146" s="219"/>
      <c r="AO146" s="219"/>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5"/>
      <c r="BO146" s="251"/>
      <c r="BP146" s="364" t="s">
        <v>1298</v>
      </c>
      <c r="BQ146" s="364" t="s">
        <v>1298</v>
      </c>
      <c r="BR146" s="364" t="s">
        <v>1298</v>
      </c>
      <c r="BS146" s="250"/>
      <c r="BT146" s="364" t="s">
        <v>1298</v>
      </c>
      <c r="BU146" s="364" t="s">
        <v>1298</v>
      </c>
      <c r="BV146" s="364" t="s">
        <v>1298</v>
      </c>
      <c r="BW146" s="364" t="s">
        <v>1298</v>
      </c>
      <c r="BX146" s="364" t="s">
        <v>1298</v>
      </c>
      <c r="BY146" s="250"/>
    </row>
    <row r="147" spans="3:78" ht="14.25">
      <c r="C147" s="306"/>
      <c r="D147" s="367"/>
      <c r="E147" s="370"/>
      <c r="F147" s="406"/>
      <c r="G147" s="376"/>
      <c r="H147" s="379"/>
      <c r="I147" s="382"/>
      <c r="J147" s="382"/>
      <c r="K147" s="385"/>
      <c r="L147" s="388"/>
      <c r="M147" s="391"/>
      <c r="N147" s="394"/>
      <c r="O147" s="397"/>
      <c r="P147" s="400"/>
      <c r="Q147" s="403"/>
      <c r="R147" s="362"/>
      <c r="S147" s="362"/>
      <c r="T147" s="362"/>
      <c r="U147" s="362"/>
      <c r="V147" s="362"/>
      <c r="W147" s="362"/>
      <c r="X147" s="362"/>
      <c r="Y147" s="362"/>
      <c r="Z147" s="362"/>
      <c r="AA147" s="362"/>
      <c r="AB147" s="362"/>
      <c r="AC147" s="362"/>
      <c r="AD147" s="362"/>
      <c r="AE147" s="193"/>
      <c r="AF147" s="217" t="s">
        <v>268</v>
      </c>
      <c r="AG147" s="158" t="s">
        <v>240</v>
      </c>
      <c r="AH147" s="300" t="s">
        <v>19</v>
      </c>
      <c r="AI147" s="301" t="s">
        <v>154</v>
      </c>
      <c r="AJ147" s="221"/>
      <c r="AK147" s="221"/>
      <c r="AL147" s="221"/>
      <c r="AM147" s="221"/>
      <c r="AN147" s="221"/>
      <c r="AO147" s="221"/>
      <c r="AP147" s="302" t="s">
        <v>19</v>
      </c>
      <c r="AQ147" s="195">
        <f>SUM(AT147,AW147,AZ147,BC147,BF147,BI147,BL147)</f>
        <v>2919.0253571630124</v>
      </c>
      <c r="AR147" s="197">
        <f>SUM(AT147,AX147,BA147,BD147,BG147,BJ147,BM147)</f>
        <v>0</v>
      </c>
      <c r="AS147" s="195">
        <f>AQ147-AR147</f>
        <v>2919.0253571630124</v>
      </c>
      <c r="AT147" s="312"/>
      <c r="AU147" s="312"/>
      <c r="AV147" s="244"/>
      <c r="AW147" s="159">
        <v>2919.0253571630124</v>
      </c>
      <c r="AX147" s="312"/>
      <c r="AY147" s="194">
        <f>AW147-AX147</f>
        <v>2919.0253571630124</v>
      </c>
      <c r="AZ147" s="160"/>
      <c r="BA147" s="312"/>
      <c r="BB147" s="194">
        <f>AZ147-BA147</f>
        <v>0</v>
      </c>
      <c r="BC147" s="159"/>
      <c r="BD147" s="312"/>
      <c r="BE147" s="194">
        <f>BC147-BD147</f>
        <v>0</v>
      </c>
      <c r="BF147" s="159"/>
      <c r="BG147" s="244"/>
      <c r="BH147" s="194">
        <f>BF147-BG147</f>
        <v>0</v>
      </c>
      <c r="BI147" s="159"/>
      <c r="BJ147" s="244"/>
      <c r="BK147" s="194">
        <f>BI147-BJ147</f>
        <v>0</v>
      </c>
      <c r="BL147" s="312"/>
      <c r="BM147" s="312"/>
      <c r="BN147" s="195">
        <f>BL147-BM147</f>
        <v>0</v>
      </c>
      <c r="BO147" s="251">
        <v>0</v>
      </c>
      <c r="BP147" s="364"/>
      <c r="BQ147" s="364"/>
      <c r="BR147" s="364"/>
      <c r="BS147" s="249" t="str">
        <f>AG147 &amp; BO147</f>
        <v>Прибыль направляемая на инвестиции0</v>
      </c>
      <c r="BT147" s="364"/>
      <c r="BU147" s="364"/>
      <c r="BV147" s="364"/>
      <c r="BW147" s="364"/>
      <c r="BX147" s="364"/>
      <c r="BY147" s="249" t="str">
        <f>AG147&amp;AH147</f>
        <v>Прибыль направляемая на инвестициинет</v>
      </c>
      <c r="BZ147" s="250"/>
    </row>
    <row r="148" spans="3:78" ht="14.25">
      <c r="C148" s="97"/>
      <c r="D148" s="367"/>
      <c r="E148" s="370"/>
      <c r="F148" s="406"/>
      <c r="G148" s="376"/>
      <c r="H148" s="379"/>
      <c r="I148" s="382"/>
      <c r="J148" s="382"/>
      <c r="K148" s="385"/>
      <c r="L148" s="388"/>
      <c r="M148" s="391"/>
      <c r="N148" s="394"/>
      <c r="O148" s="397"/>
      <c r="P148" s="400"/>
      <c r="Q148" s="403"/>
      <c r="R148" s="362"/>
      <c r="S148" s="362"/>
      <c r="T148" s="362"/>
      <c r="U148" s="362"/>
      <c r="V148" s="362"/>
      <c r="W148" s="362"/>
      <c r="X148" s="362"/>
      <c r="Y148" s="362"/>
      <c r="Z148" s="362"/>
      <c r="AA148" s="362"/>
      <c r="AB148" s="362"/>
      <c r="AC148" s="362"/>
      <c r="AD148" s="362"/>
      <c r="AE148" s="322" t="s">
        <v>1240</v>
      </c>
      <c r="AF148" s="217" t="s">
        <v>118</v>
      </c>
      <c r="AG148" s="196" t="s">
        <v>223</v>
      </c>
      <c r="AH148" s="302" t="s">
        <v>19</v>
      </c>
      <c r="AI148" s="301" t="s">
        <v>154</v>
      </c>
      <c r="AJ148" s="221"/>
      <c r="AK148" s="221"/>
      <c r="AL148" s="221"/>
      <c r="AM148" s="221"/>
      <c r="AN148" s="221"/>
      <c r="AO148" s="221"/>
      <c r="AP148" s="302" t="s">
        <v>19</v>
      </c>
      <c r="AQ148" s="195">
        <f>SUM(AT148,AW148,AZ148,BC148,BF148,BI148,BL148)</f>
        <v>583.80507143259774</v>
      </c>
      <c r="AR148" s="197">
        <f>SUM(AT148,AX148,BA148,BD148,BG148,BJ148,BM148)</f>
        <v>0</v>
      </c>
      <c r="AS148" s="195">
        <f>AQ148-AR148</f>
        <v>583.80507143259774</v>
      </c>
      <c r="AT148" s="315"/>
      <c r="AU148" s="315"/>
      <c r="AV148" s="241"/>
      <c r="AW148" s="198">
        <f>3502.83042859561-AW147</f>
        <v>583.80507143259774</v>
      </c>
      <c r="AX148" s="313"/>
      <c r="AY148" s="199">
        <f>AW148-AX148</f>
        <v>583.80507143259774</v>
      </c>
      <c r="AZ148" s="173"/>
      <c r="BA148" s="313"/>
      <c r="BB148" s="199">
        <f>AZ148-BA148</f>
        <v>0</v>
      </c>
      <c r="BC148" s="198"/>
      <c r="BD148" s="313"/>
      <c r="BE148" s="199">
        <f>BC148-BD148</f>
        <v>0</v>
      </c>
      <c r="BF148" s="198"/>
      <c r="BG148" s="241"/>
      <c r="BH148" s="199">
        <f>BF148-BG148</f>
        <v>0</v>
      </c>
      <c r="BI148" s="198"/>
      <c r="BJ148" s="241"/>
      <c r="BK148" s="199">
        <f>BI148-BJ148</f>
        <v>0</v>
      </c>
      <c r="BL148" s="313"/>
      <c r="BM148" s="313"/>
      <c r="BN148" s="195">
        <f>BL148-BM148</f>
        <v>0</v>
      </c>
      <c r="BO148" s="251">
        <v>0</v>
      </c>
      <c r="BP148" s="364"/>
      <c r="BQ148" s="364"/>
      <c r="BR148" s="364"/>
      <c r="BS148" s="249" t="str">
        <f>AG148 &amp; BO148</f>
        <v>Прочие собственные средства0</v>
      </c>
      <c r="BT148" s="364"/>
      <c r="BU148" s="364"/>
      <c r="BV148" s="364"/>
      <c r="BW148" s="364"/>
      <c r="BX148" s="364"/>
      <c r="BY148" s="249" t="str">
        <f>AG148&amp;AH148</f>
        <v>Прочие собственные средстванет</v>
      </c>
      <c r="BZ148" s="250"/>
    </row>
    <row r="149" spans="3:78" ht="14.25">
      <c r="C149" s="97"/>
      <c r="D149" s="367"/>
      <c r="E149" s="370"/>
      <c r="F149" s="406"/>
      <c r="G149" s="376"/>
      <c r="H149" s="379"/>
      <c r="I149" s="382"/>
      <c r="J149" s="382"/>
      <c r="K149" s="385"/>
      <c r="L149" s="388"/>
      <c r="M149" s="391"/>
      <c r="N149" s="394"/>
      <c r="O149" s="397"/>
      <c r="P149" s="400"/>
      <c r="Q149" s="403"/>
      <c r="R149" s="362"/>
      <c r="S149" s="362"/>
      <c r="T149" s="362"/>
      <c r="U149" s="362"/>
      <c r="V149" s="362"/>
      <c r="W149" s="362"/>
      <c r="X149" s="362"/>
      <c r="Y149" s="362"/>
      <c r="Z149" s="362"/>
      <c r="AA149" s="362"/>
      <c r="AB149" s="362"/>
      <c r="AC149" s="362"/>
      <c r="AD149" s="362"/>
      <c r="AE149" s="322" t="s">
        <v>1240</v>
      </c>
      <c r="AF149" s="217" t="s">
        <v>119</v>
      </c>
      <c r="AG149" s="196" t="s">
        <v>226</v>
      </c>
      <c r="AH149" s="302" t="s">
        <v>19</v>
      </c>
      <c r="AI149" s="301" t="s">
        <v>154</v>
      </c>
      <c r="AJ149" s="221"/>
      <c r="AK149" s="221"/>
      <c r="AL149" s="221"/>
      <c r="AM149" s="221"/>
      <c r="AN149" s="221"/>
      <c r="AO149" s="221"/>
      <c r="AP149" s="302" t="s">
        <v>19</v>
      </c>
      <c r="AQ149" s="195">
        <f>SUM(AT149,AW149,AZ149,BC149,BF149,BI149,BL149)</f>
        <v>55461.48178609724</v>
      </c>
      <c r="AR149" s="197">
        <f>SUM(AT149,AX149,BA149,BD149,BG149,BJ149,BM149)</f>
        <v>0</v>
      </c>
      <c r="AS149" s="195">
        <f>AQ149-AR149</f>
        <v>55461.48178609724</v>
      </c>
      <c r="AT149" s="315"/>
      <c r="AU149" s="315"/>
      <c r="AV149" s="241"/>
      <c r="AW149" s="198"/>
      <c r="AX149" s="313"/>
      <c r="AY149" s="199">
        <f>AW149-AX149</f>
        <v>0</v>
      </c>
      <c r="AZ149" s="173">
        <v>55461.48178609724</v>
      </c>
      <c r="BA149" s="313"/>
      <c r="BB149" s="199">
        <f>AZ149-BA149</f>
        <v>55461.48178609724</v>
      </c>
      <c r="BC149" s="198"/>
      <c r="BD149" s="313"/>
      <c r="BE149" s="199">
        <f>BC149-BD149</f>
        <v>0</v>
      </c>
      <c r="BF149" s="198"/>
      <c r="BG149" s="241"/>
      <c r="BH149" s="199">
        <f>BF149-BG149</f>
        <v>0</v>
      </c>
      <c r="BI149" s="198"/>
      <c r="BJ149" s="241"/>
      <c r="BK149" s="199">
        <f>BI149-BJ149</f>
        <v>0</v>
      </c>
      <c r="BL149" s="313"/>
      <c r="BM149" s="313"/>
      <c r="BN149" s="195">
        <f>BL149-BM149</f>
        <v>0</v>
      </c>
      <c r="BO149" s="251">
        <v>0</v>
      </c>
      <c r="BP149" s="364"/>
      <c r="BQ149" s="364"/>
      <c r="BR149" s="364"/>
      <c r="BS149" s="249" t="str">
        <f>AG149 &amp; BO149</f>
        <v>Кредиты0</v>
      </c>
      <c r="BT149" s="364"/>
      <c r="BU149" s="364"/>
      <c r="BV149" s="364"/>
      <c r="BW149" s="364"/>
      <c r="BX149" s="364"/>
      <c r="BY149" s="249" t="str">
        <f>AG149&amp;AH149</f>
        <v>Кредитынет</v>
      </c>
      <c r="BZ149" s="250"/>
    </row>
    <row r="150" spans="3:78" ht="14.25">
      <c r="C150" s="97"/>
      <c r="D150" s="367"/>
      <c r="E150" s="370"/>
      <c r="F150" s="406"/>
      <c r="G150" s="376"/>
      <c r="H150" s="379"/>
      <c r="I150" s="382"/>
      <c r="J150" s="382"/>
      <c r="K150" s="385"/>
      <c r="L150" s="388"/>
      <c r="M150" s="391"/>
      <c r="N150" s="394"/>
      <c r="O150" s="397"/>
      <c r="P150" s="400"/>
      <c r="Q150" s="403"/>
      <c r="R150" s="362"/>
      <c r="S150" s="362"/>
      <c r="T150" s="362"/>
      <c r="U150" s="362"/>
      <c r="V150" s="362"/>
      <c r="W150" s="362"/>
      <c r="X150" s="362"/>
      <c r="Y150" s="362"/>
      <c r="Z150" s="362"/>
      <c r="AA150" s="362"/>
      <c r="AB150" s="362"/>
      <c r="AC150" s="362"/>
      <c r="AD150" s="362"/>
      <c r="AE150" s="322" t="s">
        <v>1240</v>
      </c>
      <c r="AF150" s="217" t="s">
        <v>120</v>
      </c>
      <c r="AG150" s="196" t="s">
        <v>230</v>
      </c>
      <c r="AH150" s="302" t="s">
        <v>19</v>
      </c>
      <c r="AI150" s="301" t="s">
        <v>154</v>
      </c>
      <c r="AJ150" s="221"/>
      <c r="AK150" s="221"/>
      <c r="AL150" s="221"/>
      <c r="AM150" s="221"/>
      <c r="AN150" s="221"/>
      <c r="AO150" s="221"/>
      <c r="AP150" s="302" t="s">
        <v>19</v>
      </c>
      <c r="AQ150" s="195">
        <f>SUM(AT150,AW150,AZ150,BC150,BF150,BI150,BL150)</f>
        <v>11092.296357219457</v>
      </c>
      <c r="AR150" s="197">
        <f>SUM(AT150,AX150,BA150,BD150,BG150,BJ150,BM150)</f>
        <v>0</v>
      </c>
      <c r="AS150" s="195">
        <f>AQ150-AR150</f>
        <v>11092.296357219457</v>
      </c>
      <c r="AT150" s="315"/>
      <c r="AU150" s="315"/>
      <c r="AV150" s="241"/>
      <c r="AW150" s="198"/>
      <c r="AX150" s="313"/>
      <c r="AY150" s="199">
        <f>AW150-AX150</f>
        <v>0</v>
      </c>
      <c r="AZ150" s="173">
        <f>66553.7781433167-AZ149</f>
        <v>11092.296357219457</v>
      </c>
      <c r="BA150" s="313"/>
      <c r="BB150" s="199">
        <f>AZ150-BA150</f>
        <v>11092.296357219457</v>
      </c>
      <c r="BC150" s="198"/>
      <c r="BD150" s="313"/>
      <c r="BE150" s="199">
        <f>BC150-BD150</f>
        <v>0</v>
      </c>
      <c r="BF150" s="198"/>
      <c r="BG150" s="241"/>
      <c r="BH150" s="199">
        <f>BF150-BG150</f>
        <v>0</v>
      </c>
      <c r="BI150" s="198"/>
      <c r="BJ150" s="241"/>
      <c r="BK150" s="199">
        <f>BI150-BJ150</f>
        <v>0</v>
      </c>
      <c r="BL150" s="313"/>
      <c r="BM150" s="313"/>
      <c r="BN150" s="195">
        <f>BL150-BM150</f>
        <v>0</v>
      </c>
      <c r="BO150" s="251">
        <v>0</v>
      </c>
      <c r="BP150" s="364"/>
      <c r="BQ150" s="364"/>
      <c r="BR150" s="364"/>
      <c r="BS150" s="249" t="str">
        <f>AG150 &amp; BO150</f>
        <v>Прочие привлеченные средства0</v>
      </c>
      <c r="BT150" s="364"/>
      <c r="BU150" s="364"/>
      <c r="BV150" s="364"/>
      <c r="BW150" s="364"/>
      <c r="BX150" s="364"/>
      <c r="BY150" s="249" t="str">
        <f>AG150&amp;AH150</f>
        <v>Прочие привлеченные средстванет</v>
      </c>
      <c r="BZ150" s="250"/>
    </row>
    <row r="151" spans="3:78" ht="15" customHeight="1">
      <c r="C151" s="306"/>
      <c r="D151" s="367"/>
      <c r="E151" s="370"/>
      <c r="F151" s="406"/>
      <c r="G151" s="376"/>
      <c r="H151" s="379"/>
      <c r="I151" s="382"/>
      <c r="J151" s="382"/>
      <c r="K151" s="385"/>
      <c r="L151" s="388"/>
      <c r="M151" s="391"/>
      <c r="N151" s="395"/>
      <c r="O151" s="398"/>
      <c r="P151" s="401"/>
      <c r="Q151" s="404"/>
      <c r="R151" s="363"/>
      <c r="S151" s="363"/>
      <c r="T151" s="363"/>
      <c r="U151" s="363"/>
      <c r="V151" s="363"/>
      <c r="W151" s="363"/>
      <c r="X151" s="363"/>
      <c r="Y151" s="363"/>
      <c r="Z151" s="363"/>
      <c r="AA151" s="363"/>
      <c r="AB151" s="363"/>
      <c r="AC151" s="363"/>
      <c r="AD151" s="363"/>
      <c r="AE151" s="279" t="s">
        <v>379</v>
      </c>
      <c r="AF151" s="203"/>
      <c r="AG151" s="223" t="s">
        <v>24</v>
      </c>
      <c r="AH151" s="223"/>
      <c r="AI151" s="223"/>
      <c r="AJ151" s="223"/>
      <c r="AK151" s="223"/>
      <c r="AL151" s="223"/>
      <c r="AM151" s="223"/>
      <c r="AN151" s="223"/>
      <c r="AO151" s="223"/>
      <c r="AP151" s="168"/>
      <c r="AQ151" s="169"/>
      <c r="AR151" s="169"/>
      <c r="AS151" s="169"/>
      <c r="AT151" s="169"/>
      <c r="AU151" s="169"/>
      <c r="AV151" s="169"/>
      <c r="AW151" s="169"/>
      <c r="AX151" s="169"/>
      <c r="AY151" s="169"/>
      <c r="AZ151" s="169"/>
      <c r="BA151" s="169"/>
      <c r="BB151" s="169"/>
      <c r="BC151" s="169"/>
      <c r="BD151" s="169"/>
      <c r="BE151" s="169"/>
      <c r="BF151" s="169"/>
      <c r="BG151" s="169"/>
      <c r="BH151" s="169"/>
      <c r="BI151" s="169"/>
      <c r="BJ151" s="169"/>
      <c r="BK151" s="169"/>
      <c r="BL151" s="169"/>
      <c r="BM151" s="169"/>
      <c r="BN151" s="170"/>
      <c r="BO151" s="251"/>
      <c r="BP151" s="364"/>
      <c r="BQ151" s="364"/>
      <c r="BR151" s="364"/>
      <c r="BS151" s="250"/>
      <c r="BT151" s="364"/>
      <c r="BU151" s="364"/>
      <c r="BV151" s="364"/>
      <c r="BW151" s="364"/>
      <c r="BX151" s="364"/>
      <c r="BY151" s="250"/>
    </row>
    <row r="152" spans="3:78" ht="15" customHeight="1" thickBot="1">
      <c r="C152" s="307"/>
      <c r="D152" s="368"/>
      <c r="E152" s="371"/>
      <c r="F152" s="407"/>
      <c r="G152" s="377"/>
      <c r="H152" s="380"/>
      <c r="I152" s="383"/>
      <c r="J152" s="383"/>
      <c r="K152" s="386"/>
      <c r="L152" s="389"/>
      <c r="M152" s="392"/>
      <c r="N152" s="280" t="s">
        <v>380</v>
      </c>
      <c r="O152" s="212"/>
      <c r="P152" s="365" t="s">
        <v>154</v>
      </c>
      <c r="Q152" s="365"/>
      <c r="R152" s="171"/>
      <c r="S152" s="171"/>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7"/>
      <c r="BO152" s="251"/>
      <c r="BP152" s="250"/>
      <c r="BQ152" s="250"/>
      <c r="BR152" s="250"/>
      <c r="BS152" s="250"/>
      <c r="BT152" s="250"/>
      <c r="BU152" s="250"/>
      <c r="BY152" s="250"/>
    </row>
    <row r="153" spans="3:78">
      <c r="C153" s="45"/>
      <c r="D153" s="206"/>
      <c r="E153" s="207" t="s">
        <v>284</v>
      </c>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208"/>
      <c r="BL153" s="208"/>
      <c r="BM153" s="208"/>
      <c r="BN153" s="208"/>
      <c r="BO153" s="99"/>
    </row>
    <row r="154" spans="3:78" ht="15.75" customHeight="1">
      <c r="C154" s="45"/>
      <c r="D154" s="109"/>
      <c r="E154" s="110"/>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2"/>
      <c r="BD154" s="110"/>
      <c r="BE154" s="110"/>
      <c r="BF154" s="105"/>
      <c r="BG154" s="105"/>
      <c r="BH154" s="105"/>
      <c r="BI154" s="105"/>
      <c r="BJ154" s="105"/>
      <c r="BK154" s="105"/>
      <c r="BL154" s="105"/>
      <c r="BM154" s="105"/>
      <c r="BN154" s="114"/>
    </row>
    <row r="155" spans="3:78" ht="15" customHeight="1">
      <c r="C155" s="45"/>
      <c r="D155" s="55" t="s">
        <v>164</v>
      </c>
      <c r="E155" s="96"/>
      <c r="F155" s="9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99"/>
    </row>
    <row r="156" spans="3:78" ht="24" customHeight="1">
      <c r="C156" s="45"/>
      <c r="D156" s="410" t="s">
        <v>36</v>
      </c>
      <c r="E156" s="410" t="s">
        <v>195</v>
      </c>
      <c r="F156" s="410" t="s">
        <v>196</v>
      </c>
      <c r="G156" s="408" t="s">
        <v>163</v>
      </c>
      <c r="H156" s="412" t="s">
        <v>315</v>
      </c>
      <c r="I156" s="414"/>
      <c r="J156" s="414"/>
      <c r="K156" s="408" t="s">
        <v>254</v>
      </c>
      <c r="L156" s="412" t="s">
        <v>266</v>
      </c>
      <c r="M156" s="408" t="s">
        <v>267</v>
      </c>
      <c r="N156" s="415" t="s">
        <v>316</v>
      </c>
      <c r="O156" s="416"/>
      <c r="P156" s="412" t="s">
        <v>281</v>
      </c>
      <c r="Q156" s="412" t="s">
        <v>309</v>
      </c>
      <c r="R156" s="412" t="s">
        <v>310</v>
      </c>
      <c r="S156" s="412" t="s">
        <v>311</v>
      </c>
      <c r="T156" s="414"/>
      <c r="U156" s="414"/>
      <c r="V156" s="414"/>
      <c r="W156" s="414"/>
      <c r="X156" s="414"/>
      <c r="Y156" s="414"/>
      <c r="Z156" s="412" t="s">
        <v>315</v>
      </c>
      <c r="AA156" s="414"/>
      <c r="AB156" s="414"/>
      <c r="AC156" s="414"/>
      <c r="AD156" s="414"/>
      <c r="AE156" s="415" t="s">
        <v>317</v>
      </c>
      <c r="AF156" s="416"/>
      <c r="AG156" s="408" t="s">
        <v>161</v>
      </c>
      <c r="AH156" s="412" t="s">
        <v>365</v>
      </c>
      <c r="AI156" s="412" t="s">
        <v>371</v>
      </c>
      <c r="AJ156" s="412" t="s">
        <v>369</v>
      </c>
      <c r="AK156" s="412" t="s">
        <v>370</v>
      </c>
      <c r="AL156" s="412" t="s">
        <v>372</v>
      </c>
      <c r="AM156" s="412" t="s">
        <v>373</v>
      </c>
      <c r="AN156" s="412" t="s">
        <v>374</v>
      </c>
      <c r="AO156" s="412" t="s">
        <v>375</v>
      </c>
      <c r="AP156" s="412" t="s">
        <v>283</v>
      </c>
      <c r="AQ156" s="412" t="s">
        <v>299</v>
      </c>
      <c r="AR156" s="412" t="s">
        <v>346</v>
      </c>
      <c r="AS156" s="412" t="s">
        <v>301</v>
      </c>
      <c r="AT156" s="412" t="s">
        <v>302</v>
      </c>
      <c r="AU156" s="412" t="s">
        <v>390</v>
      </c>
      <c r="AV156" s="412" t="str">
        <f>"Размер средств, исключаемых из НВВ на " &amp; god &amp; " год, в связи с неисполнением ИП"</f>
        <v>Размер средств, исключаемых из НВВ на 2020 год, в связи с неисполнением ИП</v>
      </c>
      <c r="AW156" s="285" t="str">
        <f>"Утверждено на " &amp; god &amp; " (план)"</f>
        <v>Утверждено на 2020 (план)</v>
      </c>
      <c r="AX156" s="285" t="str">
        <f>"Утверждено на " &amp; god &amp; " (корректировка)"</f>
        <v>Утверждено на 2020 (корректировка)</v>
      </c>
      <c r="AY156" s="285" t="str">
        <f>"Утверждено на " &amp; god &amp; " (дельта)"</f>
        <v>Утверждено на 2020 (дельта)</v>
      </c>
      <c r="AZ156" s="285" t="str">
        <f>"Утверждено на " &amp; god+1 &amp; " (план)"</f>
        <v>Утверждено на 2021 (план)</v>
      </c>
      <c r="BA156" s="285" t="str">
        <f>"Утверждено на " &amp; god+1 &amp; " (корректировка)"</f>
        <v>Утверждено на 2021 (корректировка)</v>
      </c>
      <c r="BB156" s="285" t="str">
        <f>"Утверждено на " &amp; god+1 &amp; " (дельта)"</f>
        <v>Утверждено на 2021 (дельта)</v>
      </c>
      <c r="BC156" s="285" t="str">
        <f>"Утверждено на " &amp; god+2 &amp; " (план)"</f>
        <v>Утверждено на 2022 (план)</v>
      </c>
      <c r="BD156" s="285" t="str">
        <f>"Утверждено на " &amp; god+2 &amp; " (корректировка)"</f>
        <v>Утверждено на 2022 (корректировка)</v>
      </c>
      <c r="BE156" s="285" t="str">
        <f>"Утверждено на " &amp; god+2 &amp; " (дельта)"</f>
        <v>Утверждено на 2022 (дельта)</v>
      </c>
      <c r="BF156" s="285" t="str">
        <f>"Утверждено на " &amp; god+3 &amp; " (план)"</f>
        <v>Утверждено на 2023 (план)</v>
      </c>
      <c r="BG156" s="285" t="str">
        <f>"Утверждено на " &amp; god+3 &amp; " (корректировка)"</f>
        <v>Утверждено на 2023 (корректировка)</v>
      </c>
      <c r="BH156" s="285" t="str">
        <f>"Утверждено на " &amp; god+3 &amp; " (дельта)"</f>
        <v>Утверждено на 2023 (дельта)</v>
      </c>
      <c r="BI156" s="285" t="str">
        <f>"Утверждено на " &amp; god+4 &amp; " (план)"</f>
        <v>Утверждено на 2024 (план)</v>
      </c>
      <c r="BJ156" s="285" t="str">
        <f>"Утверждено на " &amp; god+4 &amp; " (корректировка)"</f>
        <v>Утверждено на 2024 (корректировка)</v>
      </c>
      <c r="BK156" s="285" t="str">
        <f>"Утверждено на " &amp; god+4 &amp; " (дельта)"</f>
        <v>Утверждено на 2024 (дельта)</v>
      </c>
      <c r="BL156" s="412" t="str">
        <f>"Утверждено на оставшийся период (план)"</f>
        <v>Утверждено на оставшийся период (план)</v>
      </c>
      <c r="BM156" s="412" t="str">
        <f>"Утверждено на оставшийся период (корректировка)"</f>
        <v>Утверждено на оставшийся период (корректировка)</v>
      </c>
      <c r="BN156" s="412" t="str">
        <f>"Утверждено на оставшийся период (дельта)"</f>
        <v>Утверждено на оставшийся период (дельта)</v>
      </c>
      <c r="BO156" s="99"/>
    </row>
    <row r="157" spans="3:78" ht="24" customHeight="1">
      <c r="C157" s="45"/>
      <c r="D157" s="411"/>
      <c r="E157" s="411"/>
      <c r="F157" s="411"/>
      <c r="G157" s="409"/>
      <c r="H157" s="285" t="s">
        <v>157</v>
      </c>
      <c r="I157" s="285" t="s">
        <v>158</v>
      </c>
      <c r="J157" s="285" t="s">
        <v>159</v>
      </c>
      <c r="K157" s="409"/>
      <c r="L157" s="413"/>
      <c r="M157" s="409"/>
      <c r="N157" s="417"/>
      <c r="O157" s="418"/>
      <c r="P157" s="413"/>
      <c r="Q157" s="413"/>
      <c r="R157" s="413"/>
      <c r="S157" s="285" t="s">
        <v>157</v>
      </c>
      <c r="T157" s="285" t="s">
        <v>158</v>
      </c>
      <c r="U157" s="285" t="s">
        <v>159</v>
      </c>
      <c r="V157" s="285" t="s">
        <v>312</v>
      </c>
      <c r="W157" s="285" t="s">
        <v>159</v>
      </c>
      <c r="X157" s="285" t="s">
        <v>313</v>
      </c>
      <c r="Y157" s="285" t="s">
        <v>314</v>
      </c>
      <c r="Z157" s="285" t="s">
        <v>157</v>
      </c>
      <c r="AA157" s="285" t="s">
        <v>158</v>
      </c>
      <c r="AB157" s="285" t="s">
        <v>159</v>
      </c>
      <c r="AC157" s="285" t="s">
        <v>312</v>
      </c>
      <c r="AD157" s="285" t="s">
        <v>159</v>
      </c>
      <c r="AE157" s="417"/>
      <c r="AF157" s="418"/>
      <c r="AG157" s="409"/>
      <c r="AH157" s="413"/>
      <c r="AI157" s="413"/>
      <c r="AJ157" s="413"/>
      <c r="AK157" s="413"/>
      <c r="AL157" s="413"/>
      <c r="AM157" s="413"/>
      <c r="AN157" s="413"/>
      <c r="AO157" s="413"/>
      <c r="AP157" s="409"/>
      <c r="AQ157" s="413"/>
      <c r="AR157" s="413"/>
      <c r="AS157" s="413"/>
      <c r="AT157" s="413"/>
      <c r="AU157" s="413"/>
      <c r="AV157" s="413"/>
      <c r="AW157" s="285" t="s">
        <v>141</v>
      </c>
      <c r="AX157" s="285" t="s">
        <v>141</v>
      </c>
      <c r="AY157" s="285" t="s">
        <v>141</v>
      </c>
      <c r="AZ157" s="285" t="s">
        <v>141</v>
      </c>
      <c r="BA157" s="285" t="s">
        <v>141</v>
      </c>
      <c r="BB157" s="285" t="s">
        <v>141</v>
      </c>
      <c r="BC157" s="285" t="s">
        <v>141</v>
      </c>
      <c r="BD157" s="285" t="s">
        <v>141</v>
      </c>
      <c r="BE157" s="285" t="s">
        <v>141</v>
      </c>
      <c r="BF157" s="285" t="s">
        <v>141</v>
      </c>
      <c r="BG157" s="285" t="s">
        <v>141</v>
      </c>
      <c r="BH157" s="285" t="s">
        <v>141</v>
      </c>
      <c r="BI157" s="285" t="s">
        <v>141</v>
      </c>
      <c r="BJ157" s="285" t="s">
        <v>141</v>
      </c>
      <c r="BK157" s="285" t="s">
        <v>141</v>
      </c>
      <c r="BL157" s="413"/>
      <c r="BM157" s="413"/>
      <c r="BN157" s="413"/>
      <c r="BO157" s="99"/>
    </row>
    <row r="158" spans="3:78" ht="12.75" customHeight="1" thickBot="1">
      <c r="C158" s="45"/>
      <c r="D158" s="108"/>
      <c r="E158" s="108"/>
      <c r="F158" s="108"/>
      <c r="G158" s="201" t="s">
        <v>141</v>
      </c>
      <c r="H158" s="287"/>
      <c r="I158" s="287"/>
      <c r="J158" s="287"/>
      <c r="K158" s="287"/>
      <c r="L158" s="287"/>
      <c r="M158" s="287"/>
      <c r="N158" s="287"/>
      <c r="O158" s="287"/>
      <c r="P158" s="287"/>
      <c r="Q158" s="287"/>
      <c r="R158" s="287"/>
      <c r="S158" s="287"/>
      <c r="T158" s="287"/>
      <c r="U158" s="287"/>
      <c r="V158" s="287"/>
      <c r="W158" s="287"/>
      <c r="X158" s="287"/>
      <c r="Y158" s="287"/>
      <c r="Z158" s="287"/>
      <c r="AA158" s="287"/>
      <c r="AB158" s="287"/>
      <c r="AC158" s="287"/>
      <c r="AD158" s="287"/>
      <c r="AE158" s="420"/>
      <c r="AF158" s="420"/>
      <c r="AG158" s="420"/>
      <c r="AH158" s="287"/>
      <c r="AI158" s="287"/>
      <c r="AJ158" s="287"/>
      <c r="AK158" s="287"/>
      <c r="AL158" s="287"/>
      <c r="AM158" s="287"/>
      <c r="AN158" s="287"/>
      <c r="AO158" s="287"/>
      <c r="AP158" s="287"/>
      <c r="AQ158" s="101">
        <f>SUMIF($BO159:$BO830,"&lt;&gt;1",AQ159:AQ830)</f>
        <v>8050011.0051246798</v>
      </c>
      <c r="AR158" s="101">
        <f>SUMIF($BO159:$BO830,"&lt;&gt;1",AR159:AR830)</f>
        <v>0</v>
      </c>
      <c r="AS158" s="100">
        <f>AQ158-AR158</f>
        <v>8050011.0051246798</v>
      </c>
      <c r="AT158" s="101">
        <f>SUMIF($BO159:$BO830,"&lt;&gt;1",AT159:AT830)</f>
        <v>0</v>
      </c>
      <c r="AU158" s="101">
        <f>SUMIF($BO159:$BO830,"&lt;&gt;1",AU159:AU830)</f>
        <v>0</v>
      </c>
      <c r="AV158" s="101">
        <f>SUMIF($BO159:$BO830,"&lt;&gt;1",AV159:AV830)</f>
        <v>0</v>
      </c>
      <c r="AW158" s="101">
        <f>SUMIF($BO159:$BO830,"&lt;&gt;1",AW159:AW830)</f>
        <v>1553392.9398373242</v>
      </c>
      <c r="AX158" s="101">
        <f>SUMIF($BO159:$BO830,"&lt;&gt;1",AX159:AX830)</f>
        <v>0</v>
      </c>
      <c r="AY158" s="101">
        <f>AW158-AX158</f>
        <v>1553392.9398373242</v>
      </c>
      <c r="AZ158" s="101">
        <f>SUMIF($BO159:$BO830,"&lt;&gt;1",AZ159:AZ830)</f>
        <v>2194573.9904111503</v>
      </c>
      <c r="BA158" s="101">
        <f>SUMIF($BO159:$BO830,"&lt;&gt;1",BA159:BA830)</f>
        <v>0</v>
      </c>
      <c r="BB158" s="101">
        <f>AZ158-BA158</f>
        <v>2194573.9904111503</v>
      </c>
      <c r="BC158" s="101">
        <f>SUMIF($BO159:$BO830,"&lt;&gt;1",BC159:BC830)</f>
        <v>4302044.0748762013</v>
      </c>
      <c r="BD158" s="101">
        <f>SUMIF($BO159:$BO830,"&lt;&gt;1",BD159:BD830)</f>
        <v>0</v>
      </c>
      <c r="BE158" s="101">
        <f>BC158-BD158</f>
        <v>4302044.0748762013</v>
      </c>
      <c r="BF158" s="101">
        <f>SUMIF($BO159:$BO830,"&lt;&gt;1",BF159:BF830)</f>
        <v>0</v>
      </c>
      <c r="BG158" s="101">
        <f>SUMIF($BO159:$BO830,"&lt;&gt;1",BG159:BG830)</f>
        <v>0</v>
      </c>
      <c r="BH158" s="101">
        <f>BF158-BG158</f>
        <v>0</v>
      </c>
      <c r="BI158" s="101">
        <f>SUMIF($BO159:$BO830,"&lt;&gt;1",BI159:BI830)</f>
        <v>0</v>
      </c>
      <c r="BJ158" s="101">
        <f>SUMIF($BO159:$BO830,"&lt;&gt;1",BJ159:BJ830)</f>
        <v>0</v>
      </c>
      <c r="BK158" s="101">
        <f>BI158-BJ158</f>
        <v>0</v>
      </c>
      <c r="BL158" s="101">
        <f>SUMIF($BO159:$BO830,"&lt;&gt;1",BL159:BL830)</f>
        <v>0</v>
      </c>
      <c r="BM158" s="101">
        <f>SUMIF($BO159:$BO830,"&lt;&gt;1",BM159:BM830)</f>
        <v>0</v>
      </c>
      <c r="BN158" s="100">
        <f>BL158-BM158</f>
        <v>0</v>
      </c>
      <c r="BO158" s="99"/>
    </row>
    <row r="159" spans="3:78" s="48" customFormat="1" ht="11.25" hidden="1" customHeight="1">
      <c r="C159" s="45"/>
      <c r="D159" s="98">
        <v>0</v>
      </c>
      <c r="E159" s="98"/>
      <c r="F159" s="98"/>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14"/>
      <c r="BO159" s="99"/>
    </row>
    <row r="160" spans="3:78" ht="11.25" customHeight="1">
      <c r="C160" s="97" t="s">
        <v>1240</v>
      </c>
      <c r="D160" s="366" t="s">
        <v>268</v>
      </c>
      <c r="E160" s="369" t="s">
        <v>198</v>
      </c>
      <c r="F160" s="405" t="s">
        <v>205</v>
      </c>
      <c r="G160" s="375" t="s">
        <v>1300</v>
      </c>
      <c r="H160" s="378" t="s">
        <v>715</v>
      </c>
      <c r="I160" s="381" t="s">
        <v>715</v>
      </c>
      <c r="J160" s="381" t="s">
        <v>716</v>
      </c>
      <c r="K160" s="384">
        <v>3</v>
      </c>
      <c r="L160" s="387" t="s">
        <v>5</v>
      </c>
      <c r="M160" s="390">
        <v>0</v>
      </c>
      <c r="N160" s="163"/>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1"/>
      <c r="BC160" s="161"/>
      <c r="BD160" s="161"/>
      <c r="BE160" s="161"/>
      <c r="BF160" s="161"/>
      <c r="BG160" s="161"/>
      <c r="BH160" s="161"/>
      <c r="BI160" s="161"/>
      <c r="BJ160" s="161"/>
      <c r="BK160" s="161"/>
      <c r="BL160" s="161"/>
      <c r="BM160" s="161"/>
      <c r="BN160" s="162"/>
      <c r="BO160" s="251"/>
      <c r="BP160" s="250"/>
      <c r="BQ160" s="250"/>
      <c r="BR160" s="250"/>
      <c r="BS160" s="250"/>
      <c r="BT160" s="250"/>
      <c r="BU160" s="250"/>
      <c r="BY160" s="250"/>
    </row>
    <row r="161" spans="3:78" ht="11.25" customHeight="1">
      <c r="C161" s="306"/>
      <c r="D161" s="367"/>
      <c r="E161" s="370"/>
      <c r="F161" s="406"/>
      <c r="G161" s="376"/>
      <c r="H161" s="379"/>
      <c r="I161" s="382"/>
      <c r="J161" s="382"/>
      <c r="K161" s="385"/>
      <c r="L161" s="388"/>
      <c r="M161" s="391"/>
      <c r="N161" s="393"/>
      <c r="O161" s="396">
        <v>1</v>
      </c>
      <c r="P161" s="399" t="s">
        <v>1297</v>
      </c>
      <c r="Q161" s="402"/>
      <c r="R161" s="361" t="s">
        <v>154</v>
      </c>
      <c r="S161" s="361" t="s">
        <v>154</v>
      </c>
      <c r="T161" s="361" t="s">
        <v>154</v>
      </c>
      <c r="U161" s="361" t="s">
        <v>154</v>
      </c>
      <c r="V161" s="361" t="s">
        <v>154</v>
      </c>
      <c r="W161" s="361" t="s">
        <v>154</v>
      </c>
      <c r="X161" s="361" t="s">
        <v>154</v>
      </c>
      <c r="Y161" s="361" t="s">
        <v>154</v>
      </c>
      <c r="Z161" s="361" t="s">
        <v>154</v>
      </c>
      <c r="AA161" s="361" t="s">
        <v>154</v>
      </c>
      <c r="AB161" s="361" t="s">
        <v>154</v>
      </c>
      <c r="AC161" s="361" t="s">
        <v>154</v>
      </c>
      <c r="AD161" s="361" t="s">
        <v>154</v>
      </c>
      <c r="AE161" s="209"/>
      <c r="AF161" s="220">
        <v>0</v>
      </c>
      <c r="AG161" s="219" t="s">
        <v>308</v>
      </c>
      <c r="AH161" s="219"/>
      <c r="AI161" s="219"/>
      <c r="AJ161" s="219"/>
      <c r="AK161" s="219"/>
      <c r="AL161" s="219"/>
      <c r="AM161" s="219"/>
      <c r="AN161" s="219"/>
      <c r="AO161" s="219"/>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5"/>
      <c r="BO161" s="251"/>
      <c r="BP161" s="364" t="s">
        <v>1298</v>
      </c>
      <c r="BQ161" s="364" t="s">
        <v>1298</v>
      </c>
      <c r="BR161" s="364" t="s">
        <v>1298</v>
      </c>
      <c r="BS161" s="250"/>
      <c r="BT161" s="364" t="s">
        <v>1298</v>
      </c>
      <c r="BU161" s="364" t="s">
        <v>1298</v>
      </c>
      <c r="BV161" s="364" t="s">
        <v>1298</v>
      </c>
      <c r="BW161" s="364" t="s">
        <v>1298</v>
      </c>
      <c r="BX161" s="364" t="s">
        <v>1298</v>
      </c>
      <c r="BY161" s="250"/>
    </row>
    <row r="162" spans="3:78" ht="14.25">
      <c r="C162" s="306"/>
      <c r="D162" s="367"/>
      <c r="E162" s="370"/>
      <c r="F162" s="406"/>
      <c r="G162" s="376"/>
      <c r="H162" s="379"/>
      <c r="I162" s="382"/>
      <c r="J162" s="382"/>
      <c r="K162" s="385"/>
      <c r="L162" s="388"/>
      <c r="M162" s="391"/>
      <c r="N162" s="394"/>
      <c r="O162" s="397"/>
      <c r="P162" s="400"/>
      <c r="Q162" s="403"/>
      <c r="R162" s="362"/>
      <c r="S162" s="362"/>
      <c r="T162" s="362"/>
      <c r="U162" s="362"/>
      <c r="V162" s="362"/>
      <c r="W162" s="362"/>
      <c r="X162" s="362"/>
      <c r="Y162" s="362"/>
      <c r="Z162" s="362"/>
      <c r="AA162" s="362"/>
      <c r="AB162" s="362"/>
      <c r="AC162" s="362"/>
      <c r="AD162" s="362"/>
      <c r="AE162" s="193"/>
      <c r="AF162" s="217" t="s">
        <v>268</v>
      </c>
      <c r="AG162" s="158" t="s">
        <v>327</v>
      </c>
      <c r="AH162" s="300" t="s">
        <v>19</v>
      </c>
      <c r="AI162" s="301" t="s">
        <v>154</v>
      </c>
      <c r="AJ162" s="221"/>
      <c r="AK162" s="221"/>
      <c r="AL162" s="221"/>
      <c r="AM162" s="221"/>
      <c r="AN162" s="221"/>
      <c r="AO162" s="221"/>
      <c r="AP162" s="302" t="s">
        <v>19</v>
      </c>
      <c r="AQ162" s="195">
        <f>SUM(AT162,AW162,AZ162,BC162,BF162,BI162,BL162)</f>
        <v>553215.56973958889</v>
      </c>
      <c r="AR162" s="197">
        <f>SUM(AT162,AX162,BA162,BD162,BG162,BJ162,BM162)</f>
        <v>0</v>
      </c>
      <c r="AS162" s="195">
        <f>AQ162-AR162</f>
        <v>553215.56973958889</v>
      </c>
      <c r="AT162" s="312"/>
      <c r="AU162" s="312"/>
      <c r="AV162" s="244"/>
      <c r="AW162" s="159">
        <v>212497.64451319043</v>
      </c>
      <c r="AX162" s="312"/>
      <c r="AY162" s="194">
        <f>AW162-AX162</f>
        <v>212497.64451319043</v>
      </c>
      <c r="AZ162" s="160">
        <v>178703.60255866018</v>
      </c>
      <c r="BA162" s="312"/>
      <c r="BB162" s="194">
        <f>AZ162-BA162</f>
        <v>178703.60255866018</v>
      </c>
      <c r="BC162" s="159">
        <v>162014.32266773834</v>
      </c>
      <c r="BD162" s="312"/>
      <c r="BE162" s="194">
        <f>BC162-BD162</f>
        <v>162014.32266773834</v>
      </c>
      <c r="BF162" s="159"/>
      <c r="BG162" s="244"/>
      <c r="BH162" s="194">
        <f>BF162-BG162</f>
        <v>0</v>
      </c>
      <c r="BI162" s="159"/>
      <c r="BJ162" s="244"/>
      <c r="BK162" s="194">
        <f>BI162-BJ162</f>
        <v>0</v>
      </c>
      <c r="BL162" s="312"/>
      <c r="BM162" s="312"/>
      <c r="BN162" s="195">
        <f>BL162-BM162</f>
        <v>0</v>
      </c>
      <c r="BO162" s="251">
        <v>0</v>
      </c>
      <c r="BP162" s="364"/>
      <c r="BQ162" s="364"/>
      <c r="BR162" s="364"/>
      <c r="BS162" s="249" t="str">
        <f>AG162 &amp; BO162</f>
        <v>За счет платы за технологическое присоединение0</v>
      </c>
      <c r="BT162" s="364"/>
      <c r="BU162" s="364"/>
      <c r="BV162" s="364"/>
      <c r="BW162" s="364"/>
      <c r="BX162" s="364"/>
      <c r="BY162" s="249" t="str">
        <f>AG162&amp;AH162</f>
        <v>За счет платы за технологическое присоединениенет</v>
      </c>
      <c r="BZ162" s="250"/>
    </row>
    <row r="163" spans="3:78" ht="14.25">
      <c r="C163" s="97"/>
      <c r="D163" s="367"/>
      <c r="E163" s="370"/>
      <c r="F163" s="406"/>
      <c r="G163" s="376"/>
      <c r="H163" s="379"/>
      <c r="I163" s="382"/>
      <c r="J163" s="382"/>
      <c r="K163" s="385"/>
      <c r="L163" s="388"/>
      <c r="M163" s="391"/>
      <c r="N163" s="394"/>
      <c r="O163" s="397"/>
      <c r="P163" s="400"/>
      <c r="Q163" s="403"/>
      <c r="R163" s="362"/>
      <c r="S163" s="362"/>
      <c r="T163" s="362"/>
      <c r="U163" s="362"/>
      <c r="V163" s="362"/>
      <c r="W163" s="362"/>
      <c r="X163" s="362"/>
      <c r="Y163" s="362"/>
      <c r="Z163" s="362"/>
      <c r="AA163" s="362"/>
      <c r="AB163" s="362"/>
      <c r="AC163" s="362"/>
      <c r="AD163" s="362"/>
      <c r="AE163" s="322" t="s">
        <v>1240</v>
      </c>
      <c r="AF163" s="217" t="s">
        <v>118</v>
      </c>
      <c r="AG163" s="196" t="s">
        <v>223</v>
      </c>
      <c r="AH163" s="302" t="s">
        <v>19</v>
      </c>
      <c r="AI163" s="301" t="s">
        <v>154</v>
      </c>
      <c r="AJ163" s="221"/>
      <c r="AK163" s="221"/>
      <c r="AL163" s="221"/>
      <c r="AM163" s="221"/>
      <c r="AN163" s="221"/>
      <c r="AO163" s="221"/>
      <c r="AP163" s="302" t="s">
        <v>19</v>
      </c>
      <c r="AQ163" s="195">
        <f>SUM(AT163,AW163,AZ163,BC163,BF163,BI163,BL163)</f>
        <v>110643.11394791707</v>
      </c>
      <c r="AR163" s="197">
        <f>SUM(AT163,AX163,BA163,BD163,BG163,BJ163,BM163)</f>
        <v>0</v>
      </c>
      <c r="AS163" s="195">
        <f>AQ163-AR163</f>
        <v>110643.11394791707</v>
      </c>
      <c r="AT163" s="315"/>
      <c r="AU163" s="315"/>
      <c r="AV163" s="241"/>
      <c r="AW163" s="198">
        <f>254997.173415828-AW162</f>
        <v>42499.528902637569</v>
      </c>
      <c r="AX163" s="313"/>
      <c r="AY163" s="199">
        <f>AW163-AX163</f>
        <v>42499.528902637569</v>
      </c>
      <c r="AZ163" s="173">
        <f>214444.323070392-AZ162</f>
        <v>35740.720511731837</v>
      </c>
      <c r="BA163" s="313"/>
      <c r="BB163" s="199">
        <f>AZ163-BA163</f>
        <v>35740.720511731837</v>
      </c>
      <c r="BC163" s="198">
        <f>194417.187201286-BC162</f>
        <v>32402.864533547661</v>
      </c>
      <c r="BD163" s="313"/>
      <c r="BE163" s="199">
        <f>BC163-BD163</f>
        <v>32402.864533547661</v>
      </c>
      <c r="BF163" s="198"/>
      <c r="BG163" s="241"/>
      <c r="BH163" s="199">
        <f>BF163-BG163</f>
        <v>0</v>
      </c>
      <c r="BI163" s="198"/>
      <c r="BJ163" s="241"/>
      <c r="BK163" s="199">
        <f>BI163-BJ163</f>
        <v>0</v>
      </c>
      <c r="BL163" s="313"/>
      <c r="BM163" s="313"/>
      <c r="BN163" s="195">
        <f>BL163-BM163</f>
        <v>0</v>
      </c>
      <c r="BO163" s="251">
        <v>0</v>
      </c>
      <c r="BP163" s="364"/>
      <c r="BQ163" s="364"/>
      <c r="BR163" s="364"/>
      <c r="BS163" s="249" t="str">
        <f>AG163 &amp; BO163</f>
        <v>Прочие собственные средства0</v>
      </c>
      <c r="BT163" s="364"/>
      <c r="BU163" s="364"/>
      <c r="BV163" s="364"/>
      <c r="BW163" s="364"/>
      <c r="BX163" s="364"/>
      <c r="BY163" s="249" t="str">
        <f>AG163&amp;AH163</f>
        <v>Прочие собственные средстванет</v>
      </c>
      <c r="BZ163" s="250"/>
    </row>
    <row r="164" spans="3:78" ht="15" customHeight="1">
      <c r="C164" s="306"/>
      <c r="D164" s="367"/>
      <c r="E164" s="370"/>
      <c r="F164" s="406"/>
      <c r="G164" s="376"/>
      <c r="H164" s="379"/>
      <c r="I164" s="382"/>
      <c r="J164" s="382"/>
      <c r="K164" s="385"/>
      <c r="L164" s="388"/>
      <c r="M164" s="391"/>
      <c r="N164" s="395"/>
      <c r="O164" s="398"/>
      <c r="P164" s="401"/>
      <c r="Q164" s="404"/>
      <c r="R164" s="363"/>
      <c r="S164" s="363"/>
      <c r="T164" s="363"/>
      <c r="U164" s="363"/>
      <c r="V164" s="363"/>
      <c r="W164" s="363"/>
      <c r="X164" s="363"/>
      <c r="Y164" s="363"/>
      <c r="Z164" s="363"/>
      <c r="AA164" s="363"/>
      <c r="AB164" s="363"/>
      <c r="AC164" s="363"/>
      <c r="AD164" s="363"/>
      <c r="AE164" s="279" t="s">
        <v>379</v>
      </c>
      <c r="AF164" s="203"/>
      <c r="AG164" s="223" t="s">
        <v>24</v>
      </c>
      <c r="AH164" s="223"/>
      <c r="AI164" s="223"/>
      <c r="AJ164" s="223"/>
      <c r="AK164" s="223"/>
      <c r="AL164" s="223"/>
      <c r="AM164" s="223"/>
      <c r="AN164" s="223"/>
      <c r="AO164" s="223"/>
      <c r="AP164" s="168"/>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70"/>
      <c r="BO164" s="251"/>
      <c r="BP164" s="364"/>
      <c r="BQ164" s="364"/>
      <c r="BR164" s="364"/>
      <c r="BS164" s="250"/>
      <c r="BT164" s="364"/>
      <c r="BU164" s="364"/>
      <c r="BV164" s="364"/>
      <c r="BW164" s="364"/>
      <c r="BX164" s="364"/>
      <c r="BY164" s="250"/>
    </row>
    <row r="165" spans="3:78" ht="15" customHeight="1" thickBot="1">
      <c r="C165" s="307"/>
      <c r="D165" s="368"/>
      <c r="E165" s="371"/>
      <c r="F165" s="407"/>
      <c r="G165" s="377"/>
      <c r="H165" s="380"/>
      <c r="I165" s="383"/>
      <c r="J165" s="383"/>
      <c r="K165" s="386"/>
      <c r="L165" s="389"/>
      <c r="M165" s="392"/>
      <c r="N165" s="280" t="s">
        <v>380</v>
      </c>
      <c r="O165" s="212"/>
      <c r="P165" s="365" t="s">
        <v>154</v>
      </c>
      <c r="Q165" s="365"/>
      <c r="R165" s="171"/>
      <c r="S165" s="171"/>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7"/>
      <c r="BO165" s="251"/>
      <c r="BP165" s="250"/>
      <c r="BQ165" s="250"/>
      <c r="BR165" s="250"/>
      <c r="BS165" s="250"/>
      <c r="BT165" s="250"/>
      <c r="BU165" s="250"/>
      <c r="BY165" s="250"/>
    </row>
    <row r="166" spans="3:78" ht="11.25" customHeight="1">
      <c r="C166" s="97" t="s">
        <v>1240</v>
      </c>
      <c r="D166" s="366" t="s">
        <v>118</v>
      </c>
      <c r="E166" s="369" t="s">
        <v>198</v>
      </c>
      <c r="F166" s="405" t="s">
        <v>207</v>
      </c>
      <c r="G166" s="375" t="s">
        <v>1301</v>
      </c>
      <c r="H166" s="378" t="s">
        <v>715</v>
      </c>
      <c r="I166" s="381" t="s">
        <v>715</v>
      </c>
      <c r="J166" s="381" t="s">
        <v>716</v>
      </c>
      <c r="K166" s="384">
        <v>1</v>
      </c>
      <c r="L166" s="387" t="s">
        <v>3</v>
      </c>
      <c r="M166" s="390">
        <v>0</v>
      </c>
      <c r="N166" s="163"/>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161"/>
      <c r="AY166" s="161"/>
      <c r="AZ166" s="161"/>
      <c r="BA166" s="161"/>
      <c r="BB166" s="161"/>
      <c r="BC166" s="161"/>
      <c r="BD166" s="161"/>
      <c r="BE166" s="161"/>
      <c r="BF166" s="161"/>
      <c r="BG166" s="161"/>
      <c r="BH166" s="161"/>
      <c r="BI166" s="161"/>
      <c r="BJ166" s="161"/>
      <c r="BK166" s="161"/>
      <c r="BL166" s="161"/>
      <c r="BM166" s="161"/>
      <c r="BN166" s="162"/>
      <c r="BO166" s="251"/>
      <c r="BP166" s="250"/>
      <c r="BQ166" s="250"/>
      <c r="BR166" s="250"/>
      <c r="BS166" s="250"/>
      <c r="BT166" s="250"/>
      <c r="BU166" s="250"/>
      <c r="BY166" s="250"/>
    </row>
    <row r="167" spans="3:78" ht="11.25" customHeight="1">
      <c r="C167" s="306"/>
      <c r="D167" s="367"/>
      <c r="E167" s="370"/>
      <c r="F167" s="406"/>
      <c r="G167" s="376"/>
      <c r="H167" s="379"/>
      <c r="I167" s="382"/>
      <c r="J167" s="382"/>
      <c r="K167" s="385"/>
      <c r="L167" s="388"/>
      <c r="M167" s="391"/>
      <c r="N167" s="393"/>
      <c r="O167" s="396">
        <v>1</v>
      </c>
      <c r="P167" s="399" t="s">
        <v>1297</v>
      </c>
      <c r="Q167" s="402"/>
      <c r="R167" s="361" t="s">
        <v>154</v>
      </c>
      <c r="S167" s="361" t="s">
        <v>154</v>
      </c>
      <c r="T167" s="361" t="s">
        <v>154</v>
      </c>
      <c r="U167" s="361" t="s">
        <v>154</v>
      </c>
      <c r="V167" s="361" t="s">
        <v>154</v>
      </c>
      <c r="W167" s="361" t="s">
        <v>154</v>
      </c>
      <c r="X167" s="361" t="s">
        <v>154</v>
      </c>
      <c r="Y167" s="361" t="s">
        <v>154</v>
      </c>
      <c r="Z167" s="361" t="s">
        <v>154</v>
      </c>
      <c r="AA167" s="361" t="s">
        <v>154</v>
      </c>
      <c r="AB167" s="361" t="s">
        <v>154</v>
      </c>
      <c r="AC167" s="361" t="s">
        <v>154</v>
      </c>
      <c r="AD167" s="361" t="s">
        <v>154</v>
      </c>
      <c r="AE167" s="209"/>
      <c r="AF167" s="220">
        <v>0</v>
      </c>
      <c r="AG167" s="219" t="s">
        <v>308</v>
      </c>
      <c r="AH167" s="219"/>
      <c r="AI167" s="219"/>
      <c r="AJ167" s="219"/>
      <c r="AK167" s="219"/>
      <c r="AL167" s="219"/>
      <c r="AM167" s="219"/>
      <c r="AN167" s="219"/>
      <c r="AO167" s="219"/>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5"/>
      <c r="BO167" s="251"/>
      <c r="BP167" s="364" t="s">
        <v>1298</v>
      </c>
      <c r="BQ167" s="364" t="s">
        <v>1298</v>
      </c>
      <c r="BR167" s="364" t="s">
        <v>1298</v>
      </c>
      <c r="BS167" s="250"/>
      <c r="BT167" s="364" t="s">
        <v>1298</v>
      </c>
      <c r="BU167" s="364" t="s">
        <v>1298</v>
      </c>
      <c r="BV167" s="364" t="s">
        <v>1298</v>
      </c>
      <c r="BW167" s="364" t="s">
        <v>1298</v>
      </c>
      <c r="BX167" s="364" t="s">
        <v>1298</v>
      </c>
      <c r="BY167" s="250"/>
    </row>
    <row r="168" spans="3:78" ht="14.25">
      <c r="C168" s="306"/>
      <c r="D168" s="367"/>
      <c r="E168" s="370"/>
      <c r="F168" s="406"/>
      <c r="G168" s="376"/>
      <c r="H168" s="379"/>
      <c r="I168" s="382"/>
      <c r="J168" s="382"/>
      <c r="K168" s="385"/>
      <c r="L168" s="388"/>
      <c r="M168" s="391"/>
      <c r="N168" s="394"/>
      <c r="O168" s="397"/>
      <c r="P168" s="400"/>
      <c r="Q168" s="403"/>
      <c r="R168" s="362"/>
      <c r="S168" s="362"/>
      <c r="T168" s="362"/>
      <c r="U168" s="362"/>
      <c r="V168" s="362"/>
      <c r="W168" s="362"/>
      <c r="X168" s="362"/>
      <c r="Y168" s="362"/>
      <c r="Z168" s="362"/>
      <c r="AA168" s="362"/>
      <c r="AB168" s="362"/>
      <c r="AC168" s="362"/>
      <c r="AD168" s="362"/>
      <c r="AE168" s="193"/>
      <c r="AF168" s="217" t="s">
        <v>268</v>
      </c>
      <c r="AG168" s="158" t="s">
        <v>327</v>
      </c>
      <c r="AH168" s="300" t="s">
        <v>19</v>
      </c>
      <c r="AI168" s="301" t="s">
        <v>154</v>
      </c>
      <c r="AJ168" s="221"/>
      <c r="AK168" s="221"/>
      <c r="AL168" s="221"/>
      <c r="AM168" s="221"/>
      <c r="AN168" s="221"/>
      <c r="AO168" s="221"/>
      <c r="AP168" s="302" t="s">
        <v>19</v>
      </c>
      <c r="AQ168" s="195">
        <f>SUM(AT168,AW168,AZ168,BC168,BF168,BI168,BL168)</f>
        <v>80937.718821234928</v>
      </c>
      <c r="AR168" s="197">
        <f>SUM(AT168,AX168,BA168,BD168,BG168,BJ168,BM168)</f>
        <v>0</v>
      </c>
      <c r="AS168" s="195">
        <f>AQ168-AR168</f>
        <v>80937.718821234928</v>
      </c>
      <c r="AT168" s="312"/>
      <c r="AU168" s="312"/>
      <c r="AV168" s="244"/>
      <c r="AW168" s="159">
        <v>80937.718821234928</v>
      </c>
      <c r="AX168" s="312"/>
      <c r="AY168" s="194">
        <f>AW168-AX168</f>
        <v>80937.718821234928</v>
      </c>
      <c r="AZ168" s="160"/>
      <c r="BA168" s="312"/>
      <c r="BB168" s="194">
        <f>AZ168-BA168</f>
        <v>0</v>
      </c>
      <c r="BC168" s="159"/>
      <c r="BD168" s="312"/>
      <c r="BE168" s="194">
        <f>BC168-BD168</f>
        <v>0</v>
      </c>
      <c r="BF168" s="159"/>
      <c r="BG168" s="244"/>
      <c r="BH168" s="194">
        <f>BF168-BG168</f>
        <v>0</v>
      </c>
      <c r="BI168" s="159"/>
      <c r="BJ168" s="244"/>
      <c r="BK168" s="194">
        <f>BI168-BJ168</f>
        <v>0</v>
      </c>
      <c r="BL168" s="312"/>
      <c r="BM168" s="312"/>
      <c r="BN168" s="195">
        <f>BL168-BM168</f>
        <v>0</v>
      </c>
      <c r="BO168" s="251">
        <v>0</v>
      </c>
      <c r="BP168" s="364"/>
      <c r="BQ168" s="364"/>
      <c r="BR168" s="364"/>
      <c r="BS168" s="249" t="str">
        <f>AG168 &amp; BO168</f>
        <v>За счет платы за технологическое присоединение0</v>
      </c>
      <c r="BT168" s="364"/>
      <c r="BU168" s="364"/>
      <c r="BV168" s="364"/>
      <c r="BW168" s="364"/>
      <c r="BX168" s="364"/>
      <c r="BY168" s="249" t="str">
        <f>AG168&amp;AH168</f>
        <v>За счет платы за технологическое присоединениенет</v>
      </c>
      <c r="BZ168" s="250"/>
    </row>
    <row r="169" spans="3:78" ht="14.25">
      <c r="C169" s="97"/>
      <c r="D169" s="367"/>
      <c r="E169" s="370"/>
      <c r="F169" s="406"/>
      <c r="G169" s="376"/>
      <c r="H169" s="379"/>
      <c r="I169" s="382"/>
      <c r="J169" s="382"/>
      <c r="K169" s="385"/>
      <c r="L169" s="388"/>
      <c r="M169" s="391"/>
      <c r="N169" s="394"/>
      <c r="O169" s="397"/>
      <c r="P169" s="400"/>
      <c r="Q169" s="403"/>
      <c r="R169" s="362"/>
      <c r="S169" s="362"/>
      <c r="T169" s="362"/>
      <c r="U169" s="362"/>
      <c r="V169" s="362"/>
      <c r="W169" s="362"/>
      <c r="X169" s="362"/>
      <c r="Y169" s="362"/>
      <c r="Z169" s="362"/>
      <c r="AA169" s="362"/>
      <c r="AB169" s="362"/>
      <c r="AC169" s="362"/>
      <c r="AD169" s="362"/>
      <c r="AE169" s="322" t="s">
        <v>1240</v>
      </c>
      <c r="AF169" s="217" t="s">
        <v>118</v>
      </c>
      <c r="AG169" s="196" t="s">
        <v>223</v>
      </c>
      <c r="AH169" s="302" t="s">
        <v>19</v>
      </c>
      <c r="AI169" s="301" t="s">
        <v>154</v>
      </c>
      <c r="AJ169" s="221"/>
      <c r="AK169" s="221"/>
      <c r="AL169" s="221"/>
      <c r="AM169" s="221"/>
      <c r="AN169" s="221"/>
      <c r="AO169" s="221"/>
      <c r="AP169" s="302" t="s">
        <v>19</v>
      </c>
      <c r="AQ169" s="195">
        <f>SUM(AT169,AW169,AZ169,BC169,BF169,BI169,BL169)</f>
        <v>16187.543764246977</v>
      </c>
      <c r="AR169" s="197">
        <f>SUM(AT169,AX169,BA169,BD169,BG169,BJ169,BM169)</f>
        <v>0</v>
      </c>
      <c r="AS169" s="195">
        <f>AQ169-AR169</f>
        <v>16187.543764246977</v>
      </c>
      <c r="AT169" s="315"/>
      <c r="AU169" s="315"/>
      <c r="AV169" s="241"/>
      <c r="AW169" s="198">
        <f>97125.2625854819-AW168</f>
        <v>16187.543764246977</v>
      </c>
      <c r="AX169" s="313"/>
      <c r="AY169" s="199">
        <f>AW169-AX169</f>
        <v>16187.543764246977</v>
      </c>
      <c r="AZ169" s="173"/>
      <c r="BA169" s="313"/>
      <c r="BB169" s="199">
        <f>AZ169-BA169</f>
        <v>0</v>
      </c>
      <c r="BC169" s="198"/>
      <c r="BD169" s="313"/>
      <c r="BE169" s="199">
        <f>BC169-BD169</f>
        <v>0</v>
      </c>
      <c r="BF169" s="198"/>
      <c r="BG169" s="241"/>
      <c r="BH169" s="199">
        <f>BF169-BG169</f>
        <v>0</v>
      </c>
      <c r="BI169" s="198"/>
      <c r="BJ169" s="241"/>
      <c r="BK169" s="199">
        <f>BI169-BJ169</f>
        <v>0</v>
      </c>
      <c r="BL169" s="313"/>
      <c r="BM169" s="313"/>
      <c r="BN169" s="195">
        <f>BL169-BM169</f>
        <v>0</v>
      </c>
      <c r="BO169" s="251">
        <v>0</v>
      </c>
      <c r="BP169" s="364"/>
      <c r="BQ169" s="364"/>
      <c r="BR169" s="364"/>
      <c r="BS169" s="249" t="str">
        <f>AG169 &amp; BO169</f>
        <v>Прочие собственные средства0</v>
      </c>
      <c r="BT169" s="364"/>
      <c r="BU169" s="364"/>
      <c r="BV169" s="364"/>
      <c r="BW169" s="364"/>
      <c r="BX169" s="364"/>
      <c r="BY169" s="249" t="str">
        <f>AG169&amp;AH169</f>
        <v>Прочие собственные средстванет</v>
      </c>
      <c r="BZ169" s="250"/>
    </row>
    <row r="170" spans="3:78" ht="15" customHeight="1">
      <c r="C170" s="306"/>
      <c r="D170" s="367"/>
      <c r="E170" s="370"/>
      <c r="F170" s="406"/>
      <c r="G170" s="376"/>
      <c r="H170" s="379"/>
      <c r="I170" s="382"/>
      <c r="J170" s="382"/>
      <c r="K170" s="385"/>
      <c r="L170" s="388"/>
      <c r="M170" s="391"/>
      <c r="N170" s="395"/>
      <c r="O170" s="398"/>
      <c r="P170" s="401"/>
      <c r="Q170" s="404"/>
      <c r="R170" s="363"/>
      <c r="S170" s="363"/>
      <c r="T170" s="363"/>
      <c r="U170" s="363"/>
      <c r="V170" s="363"/>
      <c r="W170" s="363"/>
      <c r="X170" s="363"/>
      <c r="Y170" s="363"/>
      <c r="Z170" s="363"/>
      <c r="AA170" s="363"/>
      <c r="AB170" s="363"/>
      <c r="AC170" s="363"/>
      <c r="AD170" s="363"/>
      <c r="AE170" s="279" t="s">
        <v>379</v>
      </c>
      <c r="AF170" s="203"/>
      <c r="AG170" s="223" t="s">
        <v>24</v>
      </c>
      <c r="AH170" s="223"/>
      <c r="AI170" s="223"/>
      <c r="AJ170" s="223"/>
      <c r="AK170" s="223"/>
      <c r="AL170" s="223"/>
      <c r="AM170" s="223"/>
      <c r="AN170" s="223"/>
      <c r="AO170" s="223"/>
      <c r="AP170" s="168"/>
      <c r="AQ170" s="169"/>
      <c r="AR170" s="169"/>
      <c r="AS170" s="169"/>
      <c r="AT170" s="169"/>
      <c r="AU170" s="169"/>
      <c r="AV170" s="169"/>
      <c r="AW170" s="169"/>
      <c r="AX170" s="169"/>
      <c r="AY170" s="169"/>
      <c r="AZ170" s="169"/>
      <c r="BA170" s="169"/>
      <c r="BB170" s="169"/>
      <c r="BC170" s="169"/>
      <c r="BD170" s="169"/>
      <c r="BE170" s="169"/>
      <c r="BF170" s="169"/>
      <c r="BG170" s="169"/>
      <c r="BH170" s="169"/>
      <c r="BI170" s="169"/>
      <c r="BJ170" s="169"/>
      <c r="BK170" s="169"/>
      <c r="BL170" s="169"/>
      <c r="BM170" s="169"/>
      <c r="BN170" s="170"/>
      <c r="BO170" s="251"/>
      <c r="BP170" s="364"/>
      <c r="BQ170" s="364"/>
      <c r="BR170" s="364"/>
      <c r="BS170" s="250"/>
      <c r="BT170" s="364"/>
      <c r="BU170" s="364"/>
      <c r="BV170" s="364"/>
      <c r="BW170" s="364"/>
      <c r="BX170" s="364"/>
      <c r="BY170" s="250"/>
    </row>
    <row r="171" spans="3:78" ht="15" customHeight="1" thickBot="1">
      <c r="C171" s="307"/>
      <c r="D171" s="368"/>
      <c r="E171" s="371"/>
      <c r="F171" s="407"/>
      <c r="G171" s="377"/>
      <c r="H171" s="380"/>
      <c r="I171" s="383"/>
      <c r="J171" s="383"/>
      <c r="K171" s="386"/>
      <c r="L171" s="389"/>
      <c r="M171" s="392"/>
      <c r="N171" s="280" t="s">
        <v>380</v>
      </c>
      <c r="O171" s="212"/>
      <c r="P171" s="365" t="s">
        <v>154</v>
      </c>
      <c r="Q171" s="365"/>
      <c r="R171" s="171"/>
      <c r="S171" s="171"/>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7"/>
      <c r="BO171" s="251"/>
      <c r="BP171" s="250"/>
      <c r="BQ171" s="250"/>
      <c r="BR171" s="250"/>
      <c r="BS171" s="250"/>
      <c r="BT171" s="250"/>
      <c r="BU171" s="250"/>
      <c r="BY171" s="250"/>
    </row>
    <row r="172" spans="3:78" ht="11.25" customHeight="1">
      <c r="C172" s="97" t="s">
        <v>1240</v>
      </c>
      <c r="D172" s="366" t="s">
        <v>119</v>
      </c>
      <c r="E172" s="369" t="s">
        <v>198</v>
      </c>
      <c r="F172" s="405" t="s">
        <v>207</v>
      </c>
      <c r="G172" s="375" t="s">
        <v>1302</v>
      </c>
      <c r="H172" s="378" t="s">
        <v>715</v>
      </c>
      <c r="I172" s="381" t="s">
        <v>715</v>
      </c>
      <c r="J172" s="381" t="s">
        <v>716</v>
      </c>
      <c r="K172" s="384">
        <v>2</v>
      </c>
      <c r="L172" s="387" t="s">
        <v>4</v>
      </c>
      <c r="M172" s="390">
        <v>0</v>
      </c>
      <c r="N172" s="163"/>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c r="AX172" s="161"/>
      <c r="AY172" s="161"/>
      <c r="AZ172" s="161"/>
      <c r="BA172" s="161"/>
      <c r="BB172" s="161"/>
      <c r="BC172" s="161"/>
      <c r="BD172" s="161"/>
      <c r="BE172" s="161"/>
      <c r="BF172" s="161"/>
      <c r="BG172" s="161"/>
      <c r="BH172" s="161"/>
      <c r="BI172" s="161"/>
      <c r="BJ172" s="161"/>
      <c r="BK172" s="161"/>
      <c r="BL172" s="161"/>
      <c r="BM172" s="161"/>
      <c r="BN172" s="162"/>
      <c r="BO172" s="251"/>
      <c r="BP172" s="250"/>
      <c r="BQ172" s="250"/>
      <c r="BR172" s="250"/>
      <c r="BS172" s="250"/>
      <c r="BT172" s="250"/>
      <c r="BU172" s="250"/>
      <c r="BY172" s="250"/>
    </row>
    <row r="173" spans="3:78" ht="11.25" customHeight="1">
      <c r="C173" s="306"/>
      <c r="D173" s="367"/>
      <c r="E173" s="370"/>
      <c r="F173" s="406"/>
      <c r="G173" s="376"/>
      <c r="H173" s="379"/>
      <c r="I173" s="382"/>
      <c r="J173" s="382"/>
      <c r="K173" s="385"/>
      <c r="L173" s="388"/>
      <c r="M173" s="391"/>
      <c r="N173" s="393"/>
      <c r="O173" s="396">
        <v>1</v>
      </c>
      <c r="P173" s="399" t="s">
        <v>1297</v>
      </c>
      <c r="Q173" s="402"/>
      <c r="R173" s="361" t="s">
        <v>154</v>
      </c>
      <c r="S173" s="361" t="s">
        <v>154</v>
      </c>
      <c r="T173" s="361" t="s">
        <v>154</v>
      </c>
      <c r="U173" s="361" t="s">
        <v>154</v>
      </c>
      <c r="V173" s="361" t="s">
        <v>154</v>
      </c>
      <c r="W173" s="361" t="s">
        <v>154</v>
      </c>
      <c r="X173" s="361" t="s">
        <v>154</v>
      </c>
      <c r="Y173" s="361" t="s">
        <v>154</v>
      </c>
      <c r="Z173" s="361" t="s">
        <v>154</v>
      </c>
      <c r="AA173" s="361" t="s">
        <v>154</v>
      </c>
      <c r="AB173" s="361" t="s">
        <v>154</v>
      </c>
      <c r="AC173" s="361" t="s">
        <v>154</v>
      </c>
      <c r="AD173" s="361" t="s">
        <v>154</v>
      </c>
      <c r="AE173" s="209"/>
      <c r="AF173" s="220">
        <v>0</v>
      </c>
      <c r="AG173" s="219" t="s">
        <v>308</v>
      </c>
      <c r="AH173" s="219"/>
      <c r="AI173" s="219"/>
      <c r="AJ173" s="219"/>
      <c r="AK173" s="219"/>
      <c r="AL173" s="219"/>
      <c r="AM173" s="219"/>
      <c r="AN173" s="219"/>
      <c r="AO173" s="219"/>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5"/>
      <c r="BO173" s="251"/>
      <c r="BP173" s="364" t="s">
        <v>1298</v>
      </c>
      <c r="BQ173" s="364" t="s">
        <v>1298</v>
      </c>
      <c r="BR173" s="364" t="s">
        <v>1298</v>
      </c>
      <c r="BS173" s="250"/>
      <c r="BT173" s="364" t="s">
        <v>1298</v>
      </c>
      <c r="BU173" s="364" t="s">
        <v>1298</v>
      </c>
      <c r="BV173" s="364" t="s">
        <v>1298</v>
      </c>
      <c r="BW173" s="364" t="s">
        <v>1298</v>
      </c>
      <c r="BX173" s="364" t="s">
        <v>1298</v>
      </c>
      <c r="BY173" s="250"/>
    </row>
    <row r="174" spans="3:78" ht="14.25">
      <c r="C174" s="306"/>
      <c r="D174" s="367"/>
      <c r="E174" s="370"/>
      <c r="F174" s="406"/>
      <c r="G174" s="376"/>
      <c r="H174" s="379"/>
      <c r="I174" s="382"/>
      <c r="J174" s="382"/>
      <c r="K174" s="385"/>
      <c r="L174" s="388"/>
      <c r="M174" s="391"/>
      <c r="N174" s="394"/>
      <c r="O174" s="397"/>
      <c r="P174" s="400"/>
      <c r="Q174" s="403"/>
      <c r="R174" s="362"/>
      <c r="S174" s="362"/>
      <c r="T174" s="362"/>
      <c r="U174" s="362"/>
      <c r="V174" s="362"/>
      <c r="W174" s="362"/>
      <c r="X174" s="362"/>
      <c r="Y174" s="362"/>
      <c r="Z174" s="362"/>
      <c r="AA174" s="362"/>
      <c r="AB174" s="362"/>
      <c r="AC174" s="362"/>
      <c r="AD174" s="362"/>
      <c r="AE174" s="193"/>
      <c r="AF174" s="217" t="s">
        <v>268</v>
      </c>
      <c r="AG174" s="158" t="s">
        <v>327</v>
      </c>
      <c r="AH174" s="300" t="s">
        <v>19</v>
      </c>
      <c r="AI174" s="301" t="s">
        <v>154</v>
      </c>
      <c r="AJ174" s="221"/>
      <c r="AK174" s="221"/>
      <c r="AL174" s="221"/>
      <c r="AM174" s="221"/>
      <c r="AN174" s="221"/>
      <c r="AO174" s="221"/>
      <c r="AP174" s="302" t="s">
        <v>19</v>
      </c>
      <c r="AQ174" s="195">
        <f>SUM(AT174,AW174,AZ174,BC174,BF174,BI174,BL174)</f>
        <v>93065.934690590802</v>
      </c>
      <c r="AR174" s="197">
        <f>SUM(AT174,AX174,BA174,BD174,BG174,BJ174,BM174)</f>
        <v>0</v>
      </c>
      <c r="AS174" s="195">
        <f>AQ174-AR174</f>
        <v>93065.934690590802</v>
      </c>
      <c r="AT174" s="312"/>
      <c r="AU174" s="312"/>
      <c r="AV174" s="244"/>
      <c r="AW174" s="159">
        <v>2328.3404018806464</v>
      </c>
      <c r="AX174" s="312"/>
      <c r="AY174" s="194">
        <f>AW174-AX174</f>
        <v>2328.3404018806464</v>
      </c>
      <c r="AZ174" s="160">
        <v>90737.594288710156</v>
      </c>
      <c r="BA174" s="312"/>
      <c r="BB174" s="194">
        <f>AZ174-BA174</f>
        <v>90737.594288710156</v>
      </c>
      <c r="BC174" s="159"/>
      <c r="BD174" s="312"/>
      <c r="BE174" s="194">
        <f>BC174-BD174</f>
        <v>0</v>
      </c>
      <c r="BF174" s="159"/>
      <c r="BG174" s="244"/>
      <c r="BH174" s="194">
        <f>BF174-BG174</f>
        <v>0</v>
      </c>
      <c r="BI174" s="159"/>
      <c r="BJ174" s="244"/>
      <c r="BK174" s="194">
        <f>BI174-BJ174</f>
        <v>0</v>
      </c>
      <c r="BL174" s="312"/>
      <c r="BM174" s="312"/>
      <c r="BN174" s="195">
        <f>BL174-BM174</f>
        <v>0</v>
      </c>
      <c r="BO174" s="251">
        <v>0</v>
      </c>
      <c r="BP174" s="364"/>
      <c r="BQ174" s="364"/>
      <c r="BR174" s="364"/>
      <c r="BS174" s="249" t="str">
        <f>AG174 &amp; BO174</f>
        <v>За счет платы за технологическое присоединение0</v>
      </c>
      <c r="BT174" s="364"/>
      <c r="BU174" s="364"/>
      <c r="BV174" s="364"/>
      <c r="BW174" s="364"/>
      <c r="BX174" s="364"/>
      <c r="BY174" s="249" t="str">
        <f>AG174&amp;AH174</f>
        <v>За счет платы за технологическое присоединениенет</v>
      </c>
      <c r="BZ174" s="250"/>
    </row>
    <row r="175" spans="3:78" ht="14.25">
      <c r="C175" s="97"/>
      <c r="D175" s="367"/>
      <c r="E175" s="370"/>
      <c r="F175" s="406"/>
      <c r="G175" s="376"/>
      <c r="H175" s="379"/>
      <c r="I175" s="382"/>
      <c r="J175" s="382"/>
      <c r="K175" s="385"/>
      <c r="L175" s="388"/>
      <c r="M175" s="391"/>
      <c r="N175" s="394"/>
      <c r="O175" s="397"/>
      <c r="P175" s="400"/>
      <c r="Q175" s="403"/>
      <c r="R175" s="362"/>
      <c r="S175" s="362"/>
      <c r="T175" s="362"/>
      <c r="U175" s="362"/>
      <c r="V175" s="362"/>
      <c r="W175" s="362"/>
      <c r="X175" s="362"/>
      <c r="Y175" s="362"/>
      <c r="Z175" s="362"/>
      <c r="AA175" s="362"/>
      <c r="AB175" s="362"/>
      <c r="AC175" s="362"/>
      <c r="AD175" s="362"/>
      <c r="AE175" s="322" t="s">
        <v>1240</v>
      </c>
      <c r="AF175" s="217" t="s">
        <v>118</v>
      </c>
      <c r="AG175" s="196" t="s">
        <v>223</v>
      </c>
      <c r="AH175" s="302" t="s">
        <v>19</v>
      </c>
      <c r="AI175" s="301" t="s">
        <v>154</v>
      </c>
      <c r="AJ175" s="221"/>
      <c r="AK175" s="221"/>
      <c r="AL175" s="221"/>
      <c r="AM175" s="221"/>
      <c r="AN175" s="221"/>
      <c r="AO175" s="221"/>
      <c r="AP175" s="302" t="s">
        <v>19</v>
      </c>
      <c r="AQ175" s="195">
        <f>SUM(AT175,AW175,AZ175,BC175,BF175,BI175,BL175)</f>
        <v>18613.186938117979</v>
      </c>
      <c r="AR175" s="197">
        <f>SUM(AT175,AX175,BA175,BD175,BG175,BJ175,BM175)</f>
        <v>0</v>
      </c>
      <c r="AS175" s="195">
        <f>AQ175-AR175</f>
        <v>18613.186938117979</v>
      </c>
      <c r="AT175" s="315"/>
      <c r="AU175" s="315"/>
      <c r="AV175" s="241"/>
      <c r="AW175" s="198">
        <f>2794.00848225678-AW174</f>
        <v>465.66808037613373</v>
      </c>
      <c r="AX175" s="313"/>
      <c r="AY175" s="199">
        <f>AW175-AX175</f>
        <v>465.66808037613373</v>
      </c>
      <c r="AZ175" s="173">
        <f>108885.113146452-AZ174</f>
        <v>18147.518857741845</v>
      </c>
      <c r="BA175" s="313"/>
      <c r="BB175" s="199">
        <f>AZ175-BA175</f>
        <v>18147.518857741845</v>
      </c>
      <c r="BC175" s="198"/>
      <c r="BD175" s="313"/>
      <c r="BE175" s="199">
        <f>BC175-BD175</f>
        <v>0</v>
      </c>
      <c r="BF175" s="198"/>
      <c r="BG175" s="241"/>
      <c r="BH175" s="199">
        <f>BF175-BG175</f>
        <v>0</v>
      </c>
      <c r="BI175" s="198"/>
      <c r="BJ175" s="241"/>
      <c r="BK175" s="199">
        <f>BI175-BJ175</f>
        <v>0</v>
      </c>
      <c r="BL175" s="313"/>
      <c r="BM175" s="313"/>
      <c r="BN175" s="195">
        <f>BL175-BM175</f>
        <v>0</v>
      </c>
      <c r="BO175" s="251">
        <v>0</v>
      </c>
      <c r="BP175" s="364"/>
      <c r="BQ175" s="364"/>
      <c r="BR175" s="364"/>
      <c r="BS175" s="249" t="str">
        <f>AG175 &amp; BO175</f>
        <v>Прочие собственные средства0</v>
      </c>
      <c r="BT175" s="364"/>
      <c r="BU175" s="364"/>
      <c r="BV175" s="364"/>
      <c r="BW175" s="364"/>
      <c r="BX175" s="364"/>
      <c r="BY175" s="249" t="str">
        <f>AG175&amp;AH175</f>
        <v>Прочие собственные средстванет</v>
      </c>
      <c r="BZ175" s="250"/>
    </row>
    <row r="176" spans="3:78" ht="15" customHeight="1">
      <c r="C176" s="306"/>
      <c r="D176" s="367"/>
      <c r="E176" s="370"/>
      <c r="F176" s="406"/>
      <c r="G176" s="376"/>
      <c r="H176" s="379"/>
      <c r="I176" s="382"/>
      <c r="J176" s="382"/>
      <c r="K176" s="385"/>
      <c r="L176" s="388"/>
      <c r="M176" s="391"/>
      <c r="N176" s="395"/>
      <c r="O176" s="398"/>
      <c r="P176" s="401"/>
      <c r="Q176" s="404"/>
      <c r="R176" s="363"/>
      <c r="S176" s="363"/>
      <c r="T176" s="363"/>
      <c r="U176" s="363"/>
      <c r="V176" s="363"/>
      <c r="W176" s="363"/>
      <c r="X176" s="363"/>
      <c r="Y176" s="363"/>
      <c r="Z176" s="363"/>
      <c r="AA176" s="363"/>
      <c r="AB176" s="363"/>
      <c r="AC176" s="363"/>
      <c r="AD176" s="363"/>
      <c r="AE176" s="279" t="s">
        <v>379</v>
      </c>
      <c r="AF176" s="203"/>
      <c r="AG176" s="223" t="s">
        <v>24</v>
      </c>
      <c r="AH176" s="223"/>
      <c r="AI176" s="223"/>
      <c r="AJ176" s="223"/>
      <c r="AK176" s="223"/>
      <c r="AL176" s="223"/>
      <c r="AM176" s="223"/>
      <c r="AN176" s="223"/>
      <c r="AO176" s="223"/>
      <c r="AP176" s="168"/>
      <c r="AQ176" s="169"/>
      <c r="AR176" s="169"/>
      <c r="AS176" s="169"/>
      <c r="AT176" s="169"/>
      <c r="AU176" s="169"/>
      <c r="AV176" s="169"/>
      <c r="AW176" s="169"/>
      <c r="AX176" s="169"/>
      <c r="AY176" s="169"/>
      <c r="AZ176" s="169"/>
      <c r="BA176" s="169"/>
      <c r="BB176" s="169"/>
      <c r="BC176" s="169"/>
      <c r="BD176" s="169"/>
      <c r="BE176" s="169"/>
      <c r="BF176" s="169"/>
      <c r="BG176" s="169"/>
      <c r="BH176" s="169"/>
      <c r="BI176" s="169"/>
      <c r="BJ176" s="169"/>
      <c r="BK176" s="169"/>
      <c r="BL176" s="169"/>
      <c r="BM176" s="169"/>
      <c r="BN176" s="170"/>
      <c r="BO176" s="251"/>
      <c r="BP176" s="364"/>
      <c r="BQ176" s="364"/>
      <c r="BR176" s="364"/>
      <c r="BS176" s="250"/>
      <c r="BT176" s="364"/>
      <c r="BU176" s="364"/>
      <c r="BV176" s="364"/>
      <c r="BW176" s="364"/>
      <c r="BX176" s="364"/>
      <c r="BY176" s="250"/>
    </row>
    <row r="177" spans="3:78" ht="15" customHeight="1" thickBot="1">
      <c r="C177" s="307"/>
      <c r="D177" s="368"/>
      <c r="E177" s="371"/>
      <c r="F177" s="407"/>
      <c r="G177" s="377"/>
      <c r="H177" s="380"/>
      <c r="I177" s="383"/>
      <c r="J177" s="383"/>
      <c r="K177" s="386"/>
      <c r="L177" s="389"/>
      <c r="M177" s="392"/>
      <c r="N177" s="280" t="s">
        <v>380</v>
      </c>
      <c r="O177" s="212"/>
      <c r="P177" s="365" t="s">
        <v>154</v>
      </c>
      <c r="Q177" s="365"/>
      <c r="R177" s="171"/>
      <c r="S177" s="171"/>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7"/>
      <c r="BO177" s="251"/>
      <c r="BP177" s="250"/>
      <c r="BQ177" s="250"/>
      <c r="BR177" s="250"/>
      <c r="BS177" s="250"/>
      <c r="BT177" s="250"/>
      <c r="BU177" s="250"/>
      <c r="BY177" s="250"/>
    </row>
    <row r="178" spans="3:78" ht="11.25" customHeight="1">
      <c r="C178" s="97" t="s">
        <v>1240</v>
      </c>
      <c r="D178" s="366" t="s">
        <v>120</v>
      </c>
      <c r="E178" s="369" t="s">
        <v>198</v>
      </c>
      <c r="F178" s="405" t="s">
        <v>207</v>
      </c>
      <c r="G178" s="375" t="s">
        <v>1303</v>
      </c>
      <c r="H178" s="378" t="s">
        <v>715</v>
      </c>
      <c r="I178" s="381" t="s">
        <v>715</v>
      </c>
      <c r="J178" s="381" t="s">
        <v>716</v>
      </c>
      <c r="K178" s="384">
        <v>2</v>
      </c>
      <c r="L178" s="387" t="s">
        <v>5</v>
      </c>
      <c r="M178" s="390">
        <v>0</v>
      </c>
      <c r="N178" s="163"/>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c r="AX178" s="161"/>
      <c r="AY178" s="161"/>
      <c r="AZ178" s="161"/>
      <c r="BA178" s="161"/>
      <c r="BB178" s="161"/>
      <c r="BC178" s="161"/>
      <c r="BD178" s="161"/>
      <c r="BE178" s="161"/>
      <c r="BF178" s="161"/>
      <c r="BG178" s="161"/>
      <c r="BH178" s="161"/>
      <c r="BI178" s="161"/>
      <c r="BJ178" s="161"/>
      <c r="BK178" s="161"/>
      <c r="BL178" s="161"/>
      <c r="BM178" s="161"/>
      <c r="BN178" s="162"/>
      <c r="BO178" s="251"/>
      <c r="BP178" s="250"/>
      <c r="BQ178" s="250"/>
      <c r="BR178" s="250"/>
      <c r="BS178" s="250"/>
      <c r="BT178" s="250"/>
      <c r="BU178" s="250"/>
      <c r="BY178" s="250"/>
    </row>
    <row r="179" spans="3:78" ht="11.25" customHeight="1">
      <c r="C179" s="306"/>
      <c r="D179" s="367"/>
      <c r="E179" s="370"/>
      <c r="F179" s="406"/>
      <c r="G179" s="376"/>
      <c r="H179" s="379"/>
      <c r="I179" s="382"/>
      <c r="J179" s="382"/>
      <c r="K179" s="385"/>
      <c r="L179" s="388"/>
      <c r="M179" s="391"/>
      <c r="N179" s="393"/>
      <c r="O179" s="396">
        <v>1</v>
      </c>
      <c r="P179" s="399" t="s">
        <v>1297</v>
      </c>
      <c r="Q179" s="402"/>
      <c r="R179" s="361" t="s">
        <v>154</v>
      </c>
      <c r="S179" s="361" t="s">
        <v>154</v>
      </c>
      <c r="T179" s="361" t="s">
        <v>154</v>
      </c>
      <c r="U179" s="361" t="s">
        <v>154</v>
      </c>
      <c r="V179" s="361" t="s">
        <v>154</v>
      </c>
      <c r="W179" s="361" t="s">
        <v>154</v>
      </c>
      <c r="X179" s="361" t="s">
        <v>154</v>
      </c>
      <c r="Y179" s="361" t="s">
        <v>154</v>
      </c>
      <c r="Z179" s="361" t="s">
        <v>154</v>
      </c>
      <c r="AA179" s="361" t="s">
        <v>154</v>
      </c>
      <c r="AB179" s="361" t="s">
        <v>154</v>
      </c>
      <c r="AC179" s="361" t="s">
        <v>154</v>
      </c>
      <c r="AD179" s="361" t="s">
        <v>154</v>
      </c>
      <c r="AE179" s="209"/>
      <c r="AF179" s="220">
        <v>0</v>
      </c>
      <c r="AG179" s="219" t="s">
        <v>308</v>
      </c>
      <c r="AH179" s="219"/>
      <c r="AI179" s="219"/>
      <c r="AJ179" s="219"/>
      <c r="AK179" s="219"/>
      <c r="AL179" s="219"/>
      <c r="AM179" s="219"/>
      <c r="AN179" s="219"/>
      <c r="AO179" s="219"/>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5"/>
      <c r="BO179" s="251"/>
      <c r="BP179" s="364" t="s">
        <v>1298</v>
      </c>
      <c r="BQ179" s="364" t="s">
        <v>1298</v>
      </c>
      <c r="BR179" s="364" t="s">
        <v>1298</v>
      </c>
      <c r="BS179" s="250"/>
      <c r="BT179" s="364" t="s">
        <v>1298</v>
      </c>
      <c r="BU179" s="364" t="s">
        <v>1298</v>
      </c>
      <c r="BV179" s="364" t="s">
        <v>1298</v>
      </c>
      <c r="BW179" s="364" t="s">
        <v>1298</v>
      </c>
      <c r="BX179" s="364" t="s">
        <v>1298</v>
      </c>
      <c r="BY179" s="250"/>
    </row>
    <row r="180" spans="3:78" ht="14.25">
      <c r="C180" s="306"/>
      <c r="D180" s="367"/>
      <c r="E180" s="370"/>
      <c r="F180" s="406"/>
      <c r="G180" s="376"/>
      <c r="H180" s="379"/>
      <c r="I180" s="382"/>
      <c r="J180" s="382"/>
      <c r="K180" s="385"/>
      <c r="L180" s="388"/>
      <c r="M180" s="391"/>
      <c r="N180" s="394"/>
      <c r="O180" s="397"/>
      <c r="P180" s="400"/>
      <c r="Q180" s="403"/>
      <c r="R180" s="362"/>
      <c r="S180" s="362"/>
      <c r="T180" s="362"/>
      <c r="U180" s="362"/>
      <c r="V180" s="362"/>
      <c r="W180" s="362"/>
      <c r="X180" s="362"/>
      <c r="Y180" s="362"/>
      <c r="Z180" s="362"/>
      <c r="AA180" s="362"/>
      <c r="AB180" s="362"/>
      <c r="AC180" s="362"/>
      <c r="AD180" s="362"/>
      <c r="AE180" s="193"/>
      <c r="AF180" s="217" t="s">
        <v>268</v>
      </c>
      <c r="AG180" s="158" t="s">
        <v>327</v>
      </c>
      <c r="AH180" s="300" t="s">
        <v>19</v>
      </c>
      <c r="AI180" s="301" t="s">
        <v>154</v>
      </c>
      <c r="AJ180" s="221"/>
      <c r="AK180" s="221"/>
      <c r="AL180" s="221"/>
      <c r="AM180" s="221"/>
      <c r="AN180" s="221"/>
      <c r="AO180" s="221"/>
      <c r="AP180" s="302" t="s">
        <v>19</v>
      </c>
      <c r="AQ180" s="195">
        <f>SUM(AT180,AW180,AZ180,BC180,BF180,BI180,BL180)</f>
        <v>34439.214204612079</v>
      </c>
      <c r="AR180" s="197">
        <f>SUM(AT180,AX180,BA180,BD180,BG180,BJ180,BM180)</f>
        <v>0</v>
      </c>
      <c r="AS180" s="195">
        <f>AQ180-AR180</f>
        <v>34439.214204612079</v>
      </c>
      <c r="AT180" s="312"/>
      <c r="AU180" s="312"/>
      <c r="AV180" s="244"/>
      <c r="AW180" s="159"/>
      <c r="AX180" s="312"/>
      <c r="AY180" s="194">
        <f>AW180-AX180</f>
        <v>0</v>
      </c>
      <c r="AZ180" s="160">
        <v>1298.759199650322</v>
      </c>
      <c r="BA180" s="312"/>
      <c r="BB180" s="194">
        <f>AZ180-BA180</f>
        <v>1298.759199650322</v>
      </c>
      <c r="BC180" s="159">
        <v>33140.455004961754</v>
      </c>
      <c r="BD180" s="312"/>
      <c r="BE180" s="194">
        <f>BC180-BD180</f>
        <v>33140.455004961754</v>
      </c>
      <c r="BF180" s="159"/>
      <c r="BG180" s="244"/>
      <c r="BH180" s="194">
        <f>BF180-BG180</f>
        <v>0</v>
      </c>
      <c r="BI180" s="159"/>
      <c r="BJ180" s="244"/>
      <c r="BK180" s="194">
        <f>BI180-BJ180</f>
        <v>0</v>
      </c>
      <c r="BL180" s="312"/>
      <c r="BM180" s="312"/>
      <c r="BN180" s="195">
        <f>BL180-BM180</f>
        <v>0</v>
      </c>
      <c r="BO180" s="251">
        <v>0</v>
      </c>
      <c r="BP180" s="364"/>
      <c r="BQ180" s="364"/>
      <c r="BR180" s="364"/>
      <c r="BS180" s="249" t="str">
        <f>AG180 &amp; BO180</f>
        <v>За счет платы за технологическое присоединение0</v>
      </c>
      <c r="BT180" s="364"/>
      <c r="BU180" s="364"/>
      <c r="BV180" s="364"/>
      <c r="BW180" s="364"/>
      <c r="BX180" s="364"/>
      <c r="BY180" s="249" t="str">
        <f>AG180&amp;AH180</f>
        <v>За счет платы за технологическое присоединениенет</v>
      </c>
      <c r="BZ180" s="250"/>
    </row>
    <row r="181" spans="3:78" ht="14.25">
      <c r="C181" s="97"/>
      <c r="D181" s="367"/>
      <c r="E181" s="370"/>
      <c r="F181" s="406"/>
      <c r="G181" s="376"/>
      <c r="H181" s="379"/>
      <c r="I181" s="382"/>
      <c r="J181" s="382"/>
      <c r="K181" s="385"/>
      <c r="L181" s="388"/>
      <c r="M181" s="391"/>
      <c r="N181" s="394"/>
      <c r="O181" s="397"/>
      <c r="P181" s="400"/>
      <c r="Q181" s="403"/>
      <c r="R181" s="362"/>
      <c r="S181" s="362"/>
      <c r="T181" s="362"/>
      <c r="U181" s="362"/>
      <c r="V181" s="362"/>
      <c r="W181" s="362"/>
      <c r="X181" s="362"/>
      <c r="Y181" s="362"/>
      <c r="Z181" s="362"/>
      <c r="AA181" s="362"/>
      <c r="AB181" s="362"/>
      <c r="AC181" s="362"/>
      <c r="AD181" s="362"/>
      <c r="AE181" s="322" t="s">
        <v>1240</v>
      </c>
      <c r="AF181" s="217" t="s">
        <v>118</v>
      </c>
      <c r="AG181" s="196" t="s">
        <v>223</v>
      </c>
      <c r="AH181" s="302" t="s">
        <v>19</v>
      </c>
      <c r="AI181" s="301" t="s">
        <v>154</v>
      </c>
      <c r="AJ181" s="221"/>
      <c r="AK181" s="221"/>
      <c r="AL181" s="221"/>
      <c r="AM181" s="221"/>
      <c r="AN181" s="221"/>
      <c r="AO181" s="221"/>
      <c r="AP181" s="302" t="s">
        <v>19</v>
      </c>
      <c r="AQ181" s="195">
        <f>SUM(AT181,AW181,AZ181,BC181,BF181,BI181,BL181)</f>
        <v>6887.8428409224143</v>
      </c>
      <c r="AR181" s="197">
        <f>SUM(AT181,AX181,BA181,BD181,BG181,BJ181,BM181)</f>
        <v>0</v>
      </c>
      <c r="AS181" s="195">
        <f>AQ181-AR181</f>
        <v>6887.8428409224143</v>
      </c>
      <c r="AT181" s="315"/>
      <c r="AU181" s="315"/>
      <c r="AV181" s="241"/>
      <c r="AW181" s="198"/>
      <c r="AX181" s="313"/>
      <c r="AY181" s="199">
        <f>AW181-AX181</f>
        <v>0</v>
      </c>
      <c r="AZ181" s="173">
        <f>1558.51103958039-AZ180</f>
        <v>259.75183993006794</v>
      </c>
      <c r="BA181" s="313"/>
      <c r="BB181" s="199">
        <f>AZ181-BA181</f>
        <v>259.75183993006794</v>
      </c>
      <c r="BC181" s="198">
        <f>39768.5460059541-BC180</f>
        <v>6628.0910009923464</v>
      </c>
      <c r="BD181" s="313"/>
      <c r="BE181" s="199">
        <f>BC181-BD181</f>
        <v>6628.0910009923464</v>
      </c>
      <c r="BF181" s="198"/>
      <c r="BG181" s="241"/>
      <c r="BH181" s="199">
        <f>BF181-BG181</f>
        <v>0</v>
      </c>
      <c r="BI181" s="198"/>
      <c r="BJ181" s="241"/>
      <c r="BK181" s="199">
        <f>BI181-BJ181</f>
        <v>0</v>
      </c>
      <c r="BL181" s="313"/>
      <c r="BM181" s="313"/>
      <c r="BN181" s="195">
        <f>BL181-BM181</f>
        <v>0</v>
      </c>
      <c r="BO181" s="251">
        <v>0</v>
      </c>
      <c r="BP181" s="364"/>
      <c r="BQ181" s="364"/>
      <c r="BR181" s="364"/>
      <c r="BS181" s="249" t="str">
        <f>AG181 &amp; BO181</f>
        <v>Прочие собственные средства0</v>
      </c>
      <c r="BT181" s="364"/>
      <c r="BU181" s="364"/>
      <c r="BV181" s="364"/>
      <c r="BW181" s="364"/>
      <c r="BX181" s="364"/>
      <c r="BY181" s="249" t="str">
        <f>AG181&amp;AH181</f>
        <v>Прочие собственные средстванет</v>
      </c>
      <c r="BZ181" s="250"/>
    </row>
    <row r="182" spans="3:78" ht="15" customHeight="1">
      <c r="C182" s="306"/>
      <c r="D182" s="367"/>
      <c r="E182" s="370"/>
      <c r="F182" s="406"/>
      <c r="G182" s="376"/>
      <c r="H182" s="379"/>
      <c r="I182" s="382"/>
      <c r="J182" s="382"/>
      <c r="K182" s="385"/>
      <c r="L182" s="388"/>
      <c r="M182" s="391"/>
      <c r="N182" s="395"/>
      <c r="O182" s="398"/>
      <c r="P182" s="401"/>
      <c r="Q182" s="404"/>
      <c r="R182" s="363"/>
      <c r="S182" s="363"/>
      <c r="T182" s="363"/>
      <c r="U182" s="363"/>
      <c r="V182" s="363"/>
      <c r="W182" s="363"/>
      <c r="X182" s="363"/>
      <c r="Y182" s="363"/>
      <c r="Z182" s="363"/>
      <c r="AA182" s="363"/>
      <c r="AB182" s="363"/>
      <c r="AC182" s="363"/>
      <c r="AD182" s="363"/>
      <c r="AE182" s="279" t="s">
        <v>379</v>
      </c>
      <c r="AF182" s="203"/>
      <c r="AG182" s="223" t="s">
        <v>24</v>
      </c>
      <c r="AH182" s="223"/>
      <c r="AI182" s="223"/>
      <c r="AJ182" s="223"/>
      <c r="AK182" s="223"/>
      <c r="AL182" s="223"/>
      <c r="AM182" s="223"/>
      <c r="AN182" s="223"/>
      <c r="AO182" s="223"/>
      <c r="AP182" s="168"/>
      <c r="AQ182" s="169"/>
      <c r="AR182" s="169"/>
      <c r="AS182" s="169"/>
      <c r="AT182" s="169"/>
      <c r="AU182" s="169"/>
      <c r="AV182" s="169"/>
      <c r="AW182" s="169"/>
      <c r="AX182" s="169"/>
      <c r="AY182" s="169"/>
      <c r="AZ182" s="169"/>
      <c r="BA182" s="169"/>
      <c r="BB182" s="169"/>
      <c r="BC182" s="169"/>
      <c r="BD182" s="169"/>
      <c r="BE182" s="169"/>
      <c r="BF182" s="169"/>
      <c r="BG182" s="169"/>
      <c r="BH182" s="169"/>
      <c r="BI182" s="169"/>
      <c r="BJ182" s="169"/>
      <c r="BK182" s="169"/>
      <c r="BL182" s="169"/>
      <c r="BM182" s="169"/>
      <c r="BN182" s="170"/>
      <c r="BO182" s="251"/>
      <c r="BP182" s="364"/>
      <c r="BQ182" s="364"/>
      <c r="BR182" s="364"/>
      <c r="BS182" s="250"/>
      <c r="BT182" s="364"/>
      <c r="BU182" s="364"/>
      <c r="BV182" s="364"/>
      <c r="BW182" s="364"/>
      <c r="BX182" s="364"/>
      <c r="BY182" s="250"/>
    </row>
    <row r="183" spans="3:78" ht="15" customHeight="1" thickBot="1">
      <c r="C183" s="307"/>
      <c r="D183" s="368"/>
      <c r="E183" s="371"/>
      <c r="F183" s="407"/>
      <c r="G183" s="377"/>
      <c r="H183" s="380"/>
      <c r="I183" s="383"/>
      <c r="J183" s="383"/>
      <c r="K183" s="386"/>
      <c r="L183" s="389"/>
      <c r="M183" s="392"/>
      <c r="N183" s="280" t="s">
        <v>380</v>
      </c>
      <c r="O183" s="212"/>
      <c r="P183" s="365" t="s">
        <v>154</v>
      </c>
      <c r="Q183" s="365"/>
      <c r="R183" s="171"/>
      <c r="S183" s="171"/>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7"/>
      <c r="BO183" s="251"/>
      <c r="BP183" s="250"/>
      <c r="BQ183" s="250"/>
      <c r="BR183" s="250"/>
      <c r="BS183" s="250"/>
      <c r="BT183" s="250"/>
      <c r="BU183" s="250"/>
      <c r="BY183" s="250"/>
    </row>
    <row r="184" spans="3:78" ht="11.25" customHeight="1">
      <c r="C184" s="97" t="s">
        <v>1240</v>
      </c>
      <c r="D184" s="366" t="s">
        <v>344</v>
      </c>
      <c r="E184" s="369" t="s">
        <v>198</v>
      </c>
      <c r="F184" s="405" t="s">
        <v>207</v>
      </c>
      <c r="G184" s="375" t="s">
        <v>1304</v>
      </c>
      <c r="H184" s="378" t="s">
        <v>715</v>
      </c>
      <c r="I184" s="381" t="s">
        <v>715</v>
      </c>
      <c r="J184" s="381" t="s">
        <v>716</v>
      </c>
      <c r="K184" s="384">
        <v>1</v>
      </c>
      <c r="L184" s="387" t="s">
        <v>5</v>
      </c>
      <c r="M184" s="390">
        <v>0</v>
      </c>
      <c r="N184" s="163"/>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c r="BB184" s="161"/>
      <c r="BC184" s="161"/>
      <c r="BD184" s="161"/>
      <c r="BE184" s="161"/>
      <c r="BF184" s="161"/>
      <c r="BG184" s="161"/>
      <c r="BH184" s="161"/>
      <c r="BI184" s="161"/>
      <c r="BJ184" s="161"/>
      <c r="BK184" s="161"/>
      <c r="BL184" s="161"/>
      <c r="BM184" s="161"/>
      <c r="BN184" s="162"/>
      <c r="BO184" s="251"/>
      <c r="BP184" s="250"/>
      <c r="BQ184" s="250"/>
      <c r="BR184" s="250"/>
      <c r="BS184" s="250"/>
      <c r="BT184" s="250"/>
      <c r="BU184" s="250"/>
      <c r="BY184" s="250"/>
    </row>
    <row r="185" spans="3:78" ht="11.25" customHeight="1">
      <c r="C185" s="306"/>
      <c r="D185" s="367"/>
      <c r="E185" s="370"/>
      <c r="F185" s="406"/>
      <c r="G185" s="376"/>
      <c r="H185" s="379"/>
      <c r="I185" s="382"/>
      <c r="J185" s="382"/>
      <c r="K185" s="385"/>
      <c r="L185" s="388"/>
      <c r="M185" s="391"/>
      <c r="N185" s="393"/>
      <c r="O185" s="396">
        <v>1</v>
      </c>
      <c r="P185" s="399" t="s">
        <v>1297</v>
      </c>
      <c r="Q185" s="402"/>
      <c r="R185" s="361" t="s">
        <v>154</v>
      </c>
      <c r="S185" s="361" t="s">
        <v>154</v>
      </c>
      <c r="T185" s="361" t="s">
        <v>154</v>
      </c>
      <c r="U185" s="361" t="s">
        <v>154</v>
      </c>
      <c r="V185" s="361" t="s">
        <v>154</v>
      </c>
      <c r="W185" s="361" t="s">
        <v>154</v>
      </c>
      <c r="X185" s="361" t="s">
        <v>154</v>
      </c>
      <c r="Y185" s="361" t="s">
        <v>154</v>
      </c>
      <c r="Z185" s="361" t="s">
        <v>154</v>
      </c>
      <c r="AA185" s="361" t="s">
        <v>154</v>
      </c>
      <c r="AB185" s="361" t="s">
        <v>154</v>
      </c>
      <c r="AC185" s="361" t="s">
        <v>154</v>
      </c>
      <c r="AD185" s="361" t="s">
        <v>154</v>
      </c>
      <c r="AE185" s="209"/>
      <c r="AF185" s="220">
        <v>0</v>
      </c>
      <c r="AG185" s="219" t="s">
        <v>308</v>
      </c>
      <c r="AH185" s="219"/>
      <c r="AI185" s="219"/>
      <c r="AJ185" s="219"/>
      <c r="AK185" s="219"/>
      <c r="AL185" s="219"/>
      <c r="AM185" s="219"/>
      <c r="AN185" s="219"/>
      <c r="AO185" s="219"/>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5"/>
      <c r="BO185" s="251"/>
      <c r="BP185" s="364" t="s">
        <v>1298</v>
      </c>
      <c r="BQ185" s="364" t="s">
        <v>1298</v>
      </c>
      <c r="BR185" s="364" t="s">
        <v>1298</v>
      </c>
      <c r="BS185" s="250"/>
      <c r="BT185" s="364" t="s">
        <v>1298</v>
      </c>
      <c r="BU185" s="364" t="s">
        <v>1298</v>
      </c>
      <c r="BV185" s="364" t="s">
        <v>1298</v>
      </c>
      <c r="BW185" s="364" t="s">
        <v>1298</v>
      </c>
      <c r="BX185" s="364" t="s">
        <v>1298</v>
      </c>
      <c r="BY185" s="250"/>
    </row>
    <row r="186" spans="3:78" ht="14.25">
      <c r="C186" s="306"/>
      <c r="D186" s="367"/>
      <c r="E186" s="370"/>
      <c r="F186" s="406"/>
      <c r="G186" s="376"/>
      <c r="H186" s="379"/>
      <c r="I186" s="382"/>
      <c r="J186" s="382"/>
      <c r="K186" s="385"/>
      <c r="L186" s="388"/>
      <c r="M186" s="391"/>
      <c r="N186" s="394"/>
      <c r="O186" s="397"/>
      <c r="P186" s="400"/>
      <c r="Q186" s="403"/>
      <c r="R186" s="362"/>
      <c r="S186" s="362"/>
      <c r="T186" s="362"/>
      <c r="U186" s="362"/>
      <c r="V186" s="362"/>
      <c r="W186" s="362"/>
      <c r="X186" s="362"/>
      <c r="Y186" s="362"/>
      <c r="Z186" s="362"/>
      <c r="AA186" s="362"/>
      <c r="AB186" s="362"/>
      <c r="AC186" s="362"/>
      <c r="AD186" s="362"/>
      <c r="AE186" s="193"/>
      <c r="AF186" s="217" t="s">
        <v>268</v>
      </c>
      <c r="AG186" s="158" t="s">
        <v>327</v>
      </c>
      <c r="AH186" s="300" t="s">
        <v>19</v>
      </c>
      <c r="AI186" s="301" t="s">
        <v>154</v>
      </c>
      <c r="AJ186" s="221"/>
      <c r="AK186" s="221"/>
      <c r="AL186" s="221"/>
      <c r="AM186" s="221"/>
      <c r="AN186" s="221"/>
      <c r="AO186" s="221"/>
      <c r="AP186" s="302" t="s">
        <v>19</v>
      </c>
      <c r="AQ186" s="195">
        <f>SUM(AT186,AW186,AZ186,BC186,BF186,BI186,BL186)</f>
        <v>1323.6255466534194</v>
      </c>
      <c r="AR186" s="197">
        <f>SUM(AT186,AX186,BA186,BD186,BG186,BJ186,BM186)</f>
        <v>0</v>
      </c>
      <c r="AS186" s="195">
        <f>AQ186-AR186</f>
        <v>1323.6255466534194</v>
      </c>
      <c r="AT186" s="312"/>
      <c r="AU186" s="312"/>
      <c r="AV186" s="244"/>
      <c r="AW186" s="159"/>
      <c r="AX186" s="312"/>
      <c r="AY186" s="194">
        <f>AW186-AX186</f>
        <v>0</v>
      </c>
      <c r="AZ186" s="160"/>
      <c r="BA186" s="312"/>
      <c r="BB186" s="194">
        <f>AZ186-BA186</f>
        <v>0</v>
      </c>
      <c r="BC186" s="159">
        <v>1323.6255466534194</v>
      </c>
      <c r="BD186" s="312"/>
      <c r="BE186" s="194">
        <f>BC186-BD186</f>
        <v>1323.6255466534194</v>
      </c>
      <c r="BF186" s="159"/>
      <c r="BG186" s="244"/>
      <c r="BH186" s="194">
        <f>BF186-BG186</f>
        <v>0</v>
      </c>
      <c r="BI186" s="159"/>
      <c r="BJ186" s="244"/>
      <c r="BK186" s="194">
        <f>BI186-BJ186</f>
        <v>0</v>
      </c>
      <c r="BL186" s="312"/>
      <c r="BM186" s="312"/>
      <c r="BN186" s="195">
        <f>BL186-BM186</f>
        <v>0</v>
      </c>
      <c r="BO186" s="251">
        <v>0</v>
      </c>
      <c r="BP186" s="364"/>
      <c r="BQ186" s="364"/>
      <c r="BR186" s="364"/>
      <c r="BS186" s="249" t="str">
        <f>AG186 &amp; BO186</f>
        <v>За счет платы за технологическое присоединение0</v>
      </c>
      <c r="BT186" s="364"/>
      <c r="BU186" s="364"/>
      <c r="BV186" s="364"/>
      <c r="BW186" s="364"/>
      <c r="BX186" s="364"/>
      <c r="BY186" s="249" t="str">
        <f>AG186&amp;AH186</f>
        <v>За счет платы за технологическое присоединениенет</v>
      </c>
      <c r="BZ186" s="250"/>
    </row>
    <row r="187" spans="3:78" ht="14.25">
      <c r="C187" s="97"/>
      <c r="D187" s="367"/>
      <c r="E187" s="370"/>
      <c r="F187" s="406"/>
      <c r="G187" s="376"/>
      <c r="H187" s="379"/>
      <c r="I187" s="382"/>
      <c r="J187" s="382"/>
      <c r="K187" s="385"/>
      <c r="L187" s="388"/>
      <c r="M187" s="391"/>
      <c r="N187" s="394"/>
      <c r="O187" s="397"/>
      <c r="P187" s="400"/>
      <c r="Q187" s="403"/>
      <c r="R187" s="362"/>
      <c r="S187" s="362"/>
      <c r="T187" s="362"/>
      <c r="U187" s="362"/>
      <c r="V187" s="362"/>
      <c r="W187" s="362"/>
      <c r="X187" s="362"/>
      <c r="Y187" s="362"/>
      <c r="Z187" s="362"/>
      <c r="AA187" s="362"/>
      <c r="AB187" s="362"/>
      <c r="AC187" s="362"/>
      <c r="AD187" s="362"/>
      <c r="AE187" s="322" t="s">
        <v>1240</v>
      </c>
      <c r="AF187" s="217" t="s">
        <v>118</v>
      </c>
      <c r="AG187" s="196" t="s">
        <v>223</v>
      </c>
      <c r="AH187" s="302" t="s">
        <v>19</v>
      </c>
      <c r="AI187" s="301" t="s">
        <v>154</v>
      </c>
      <c r="AJ187" s="221"/>
      <c r="AK187" s="221"/>
      <c r="AL187" s="221"/>
      <c r="AM187" s="221"/>
      <c r="AN187" s="221"/>
      <c r="AO187" s="221"/>
      <c r="AP187" s="302" t="s">
        <v>19</v>
      </c>
      <c r="AQ187" s="195">
        <f>SUM(AT187,AW187,AZ187,BC187,BF187,BI187,BL187)</f>
        <v>264.72510933068065</v>
      </c>
      <c r="AR187" s="197">
        <f>SUM(AT187,AX187,BA187,BD187,BG187,BJ187,BM187)</f>
        <v>0</v>
      </c>
      <c r="AS187" s="195">
        <f>AQ187-AR187</f>
        <v>264.72510933068065</v>
      </c>
      <c r="AT187" s="315"/>
      <c r="AU187" s="315"/>
      <c r="AV187" s="241"/>
      <c r="AW187" s="198"/>
      <c r="AX187" s="313"/>
      <c r="AY187" s="199">
        <f>AW187-AX187</f>
        <v>0</v>
      </c>
      <c r="AZ187" s="173"/>
      <c r="BA187" s="313"/>
      <c r="BB187" s="199">
        <f>AZ187-BA187</f>
        <v>0</v>
      </c>
      <c r="BC187" s="198">
        <f>1588.3506559841-BC186</f>
        <v>264.72510933068065</v>
      </c>
      <c r="BD187" s="313"/>
      <c r="BE187" s="199">
        <f>BC187-BD187</f>
        <v>264.72510933068065</v>
      </c>
      <c r="BF187" s="198"/>
      <c r="BG187" s="241"/>
      <c r="BH187" s="199">
        <f>BF187-BG187</f>
        <v>0</v>
      </c>
      <c r="BI187" s="198"/>
      <c r="BJ187" s="241"/>
      <c r="BK187" s="199">
        <f>BI187-BJ187</f>
        <v>0</v>
      </c>
      <c r="BL187" s="313"/>
      <c r="BM187" s="313"/>
      <c r="BN187" s="195">
        <f>BL187-BM187</f>
        <v>0</v>
      </c>
      <c r="BO187" s="251">
        <v>0</v>
      </c>
      <c r="BP187" s="364"/>
      <c r="BQ187" s="364"/>
      <c r="BR187" s="364"/>
      <c r="BS187" s="249" t="str">
        <f>AG187 &amp; BO187</f>
        <v>Прочие собственные средства0</v>
      </c>
      <c r="BT187" s="364"/>
      <c r="BU187" s="364"/>
      <c r="BV187" s="364"/>
      <c r="BW187" s="364"/>
      <c r="BX187" s="364"/>
      <c r="BY187" s="249" t="str">
        <f>AG187&amp;AH187</f>
        <v>Прочие собственные средстванет</v>
      </c>
      <c r="BZ187" s="250"/>
    </row>
    <row r="188" spans="3:78" ht="15" customHeight="1">
      <c r="C188" s="306"/>
      <c r="D188" s="367"/>
      <c r="E188" s="370"/>
      <c r="F188" s="406"/>
      <c r="G188" s="376"/>
      <c r="H188" s="379"/>
      <c r="I188" s="382"/>
      <c r="J188" s="382"/>
      <c r="K188" s="385"/>
      <c r="L188" s="388"/>
      <c r="M188" s="391"/>
      <c r="N188" s="395"/>
      <c r="O188" s="398"/>
      <c r="P188" s="401"/>
      <c r="Q188" s="404"/>
      <c r="R188" s="363"/>
      <c r="S188" s="363"/>
      <c r="T188" s="363"/>
      <c r="U188" s="363"/>
      <c r="V188" s="363"/>
      <c r="W188" s="363"/>
      <c r="X188" s="363"/>
      <c r="Y188" s="363"/>
      <c r="Z188" s="363"/>
      <c r="AA188" s="363"/>
      <c r="AB188" s="363"/>
      <c r="AC188" s="363"/>
      <c r="AD188" s="363"/>
      <c r="AE188" s="279" t="s">
        <v>379</v>
      </c>
      <c r="AF188" s="203"/>
      <c r="AG188" s="223" t="s">
        <v>24</v>
      </c>
      <c r="AH188" s="223"/>
      <c r="AI188" s="223"/>
      <c r="AJ188" s="223"/>
      <c r="AK188" s="223"/>
      <c r="AL188" s="223"/>
      <c r="AM188" s="223"/>
      <c r="AN188" s="223"/>
      <c r="AO188" s="223"/>
      <c r="AP188" s="168"/>
      <c r="AQ188" s="169"/>
      <c r="AR188" s="169"/>
      <c r="AS188" s="169"/>
      <c r="AT188" s="169"/>
      <c r="AU188" s="169"/>
      <c r="AV188" s="169"/>
      <c r="AW188" s="169"/>
      <c r="AX188" s="169"/>
      <c r="AY188" s="169"/>
      <c r="AZ188" s="169"/>
      <c r="BA188" s="169"/>
      <c r="BB188" s="169"/>
      <c r="BC188" s="169"/>
      <c r="BD188" s="169"/>
      <c r="BE188" s="169"/>
      <c r="BF188" s="169"/>
      <c r="BG188" s="169"/>
      <c r="BH188" s="169"/>
      <c r="BI188" s="169"/>
      <c r="BJ188" s="169"/>
      <c r="BK188" s="169"/>
      <c r="BL188" s="169"/>
      <c r="BM188" s="169"/>
      <c r="BN188" s="170"/>
      <c r="BO188" s="251"/>
      <c r="BP188" s="364"/>
      <c r="BQ188" s="364"/>
      <c r="BR188" s="364"/>
      <c r="BS188" s="250"/>
      <c r="BT188" s="364"/>
      <c r="BU188" s="364"/>
      <c r="BV188" s="364"/>
      <c r="BW188" s="364"/>
      <c r="BX188" s="364"/>
      <c r="BY188" s="250"/>
    </row>
    <row r="189" spans="3:78" ht="15" customHeight="1" thickBot="1">
      <c r="C189" s="307"/>
      <c r="D189" s="368"/>
      <c r="E189" s="371"/>
      <c r="F189" s="407"/>
      <c r="G189" s="377"/>
      <c r="H189" s="380"/>
      <c r="I189" s="383"/>
      <c r="J189" s="383"/>
      <c r="K189" s="386"/>
      <c r="L189" s="389"/>
      <c r="M189" s="392"/>
      <c r="N189" s="280" t="s">
        <v>380</v>
      </c>
      <c r="O189" s="212"/>
      <c r="P189" s="365" t="s">
        <v>154</v>
      </c>
      <c r="Q189" s="365"/>
      <c r="R189" s="171"/>
      <c r="S189" s="171"/>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7"/>
      <c r="BO189" s="251"/>
      <c r="BP189" s="250"/>
      <c r="BQ189" s="250"/>
      <c r="BR189" s="250"/>
      <c r="BS189" s="250"/>
      <c r="BT189" s="250"/>
      <c r="BU189" s="250"/>
      <c r="BY189" s="250"/>
    </row>
    <row r="190" spans="3:78" ht="11.25" customHeight="1">
      <c r="C190" s="97" t="s">
        <v>1240</v>
      </c>
      <c r="D190" s="366" t="s">
        <v>358</v>
      </c>
      <c r="E190" s="369" t="s">
        <v>198</v>
      </c>
      <c r="F190" s="405" t="s">
        <v>207</v>
      </c>
      <c r="G190" s="375" t="s">
        <v>1305</v>
      </c>
      <c r="H190" s="378" t="s">
        <v>715</v>
      </c>
      <c r="I190" s="381" t="s">
        <v>715</v>
      </c>
      <c r="J190" s="381" t="s">
        <v>716</v>
      </c>
      <c r="K190" s="384">
        <v>1</v>
      </c>
      <c r="L190" s="387" t="s">
        <v>5</v>
      </c>
      <c r="M190" s="390">
        <v>0</v>
      </c>
      <c r="N190" s="163"/>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c r="BB190" s="161"/>
      <c r="BC190" s="161"/>
      <c r="BD190" s="161"/>
      <c r="BE190" s="161"/>
      <c r="BF190" s="161"/>
      <c r="BG190" s="161"/>
      <c r="BH190" s="161"/>
      <c r="BI190" s="161"/>
      <c r="BJ190" s="161"/>
      <c r="BK190" s="161"/>
      <c r="BL190" s="161"/>
      <c r="BM190" s="161"/>
      <c r="BN190" s="162"/>
      <c r="BO190" s="251"/>
      <c r="BP190" s="250"/>
      <c r="BQ190" s="250"/>
      <c r="BR190" s="250"/>
      <c r="BS190" s="250"/>
      <c r="BT190" s="250"/>
      <c r="BU190" s="250"/>
      <c r="BY190" s="250"/>
    </row>
    <row r="191" spans="3:78" ht="11.25" customHeight="1">
      <c r="C191" s="306"/>
      <c r="D191" s="367"/>
      <c r="E191" s="370"/>
      <c r="F191" s="406"/>
      <c r="G191" s="376"/>
      <c r="H191" s="379"/>
      <c r="I191" s="382"/>
      <c r="J191" s="382"/>
      <c r="K191" s="385"/>
      <c r="L191" s="388"/>
      <c r="M191" s="391"/>
      <c r="N191" s="393"/>
      <c r="O191" s="396">
        <v>1</v>
      </c>
      <c r="P191" s="399" t="s">
        <v>1297</v>
      </c>
      <c r="Q191" s="402"/>
      <c r="R191" s="361" t="s">
        <v>154</v>
      </c>
      <c r="S191" s="361" t="s">
        <v>154</v>
      </c>
      <c r="T191" s="361" t="s">
        <v>154</v>
      </c>
      <c r="U191" s="361" t="s">
        <v>154</v>
      </c>
      <c r="V191" s="361" t="s">
        <v>154</v>
      </c>
      <c r="W191" s="361" t="s">
        <v>154</v>
      </c>
      <c r="X191" s="361" t="s">
        <v>154</v>
      </c>
      <c r="Y191" s="361" t="s">
        <v>154</v>
      </c>
      <c r="Z191" s="361" t="s">
        <v>154</v>
      </c>
      <c r="AA191" s="361" t="s">
        <v>154</v>
      </c>
      <c r="AB191" s="361" t="s">
        <v>154</v>
      </c>
      <c r="AC191" s="361" t="s">
        <v>154</v>
      </c>
      <c r="AD191" s="361" t="s">
        <v>154</v>
      </c>
      <c r="AE191" s="209"/>
      <c r="AF191" s="220">
        <v>0</v>
      </c>
      <c r="AG191" s="219" t="s">
        <v>308</v>
      </c>
      <c r="AH191" s="219"/>
      <c r="AI191" s="219"/>
      <c r="AJ191" s="219"/>
      <c r="AK191" s="219"/>
      <c r="AL191" s="219"/>
      <c r="AM191" s="219"/>
      <c r="AN191" s="219"/>
      <c r="AO191" s="219"/>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5"/>
      <c r="BO191" s="251"/>
      <c r="BP191" s="364" t="s">
        <v>1298</v>
      </c>
      <c r="BQ191" s="364" t="s">
        <v>1298</v>
      </c>
      <c r="BR191" s="364" t="s">
        <v>1298</v>
      </c>
      <c r="BS191" s="250"/>
      <c r="BT191" s="364" t="s">
        <v>1298</v>
      </c>
      <c r="BU191" s="364" t="s">
        <v>1298</v>
      </c>
      <c r="BV191" s="364" t="s">
        <v>1298</v>
      </c>
      <c r="BW191" s="364" t="s">
        <v>1298</v>
      </c>
      <c r="BX191" s="364" t="s">
        <v>1298</v>
      </c>
      <c r="BY191" s="250"/>
    </row>
    <row r="192" spans="3:78" ht="14.25">
      <c r="C192" s="306"/>
      <c r="D192" s="367"/>
      <c r="E192" s="370"/>
      <c r="F192" s="406"/>
      <c r="G192" s="376"/>
      <c r="H192" s="379"/>
      <c r="I192" s="382"/>
      <c r="J192" s="382"/>
      <c r="K192" s="385"/>
      <c r="L192" s="388"/>
      <c r="M192" s="391"/>
      <c r="N192" s="394"/>
      <c r="O192" s="397"/>
      <c r="P192" s="400"/>
      <c r="Q192" s="403"/>
      <c r="R192" s="362"/>
      <c r="S192" s="362"/>
      <c r="T192" s="362"/>
      <c r="U192" s="362"/>
      <c r="V192" s="362"/>
      <c r="W192" s="362"/>
      <c r="X192" s="362"/>
      <c r="Y192" s="362"/>
      <c r="Z192" s="362"/>
      <c r="AA192" s="362"/>
      <c r="AB192" s="362"/>
      <c r="AC192" s="362"/>
      <c r="AD192" s="362"/>
      <c r="AE192" s="193"/>
      <c r="AF192" s="217" t="s">
        <v>268</v>
      </c>
      <c r="AG192" s="158" t="s">
        <v>327</v>
      </c>
      <c r="AH192" s="300" t="s">
        <v>19</v>
      </c>
      <c r="AI192" s="301" t="s">
        <v>154</v>
      </c>
      <c r="AJ192" s="221"/>
      <c r="AK192" s="221"/>
      <c r="AL192" s="221"/>
      <c r="AM192" s="221"/>
      <c r="AN192" s="221"/>
      <c r="AO192" s="221"/>
      <c r="AP192" s="302" t="s">
        <v>19</v>
      </c>
      <c r="AQ192" s="195">
        <f>SUM(AT192,AW192,AZ192,BC192,BF192,BI192,BL192)</f>
        <v>2053.7639898719585</v>
      </c>
      <c r="AR192" s="197">
        <f>SUM(AT192,AX192,BA192,BD192,BG192,BJ192,BM192)</f>
        <v>0</v>
      </c>
      <c r="AS192" s="195">
        <f>AQ192-AR192</f>
        <v>2053.7639898719585</v>
      </c>
      <c r="AT192" s="312"/>
      <c r="AU192" s="312"/>
      <c r="AV192" s="244"/>
      <c r="AW192" s="159"/>
      <c r="AX192" s="312"/>
      <c r="AY192" s="194">
        <f>AW192-AX192</f>
        <v>0</v>
      </c>
      <c r="AZ192" s="160"/>
      <c r="BA192" s="312"/>
      <c r="BB192" s="194">
        <f>AZ192-BA192</f>
        <v>0</v>
      </c>
      <c r="BC192" s="159">
        <v>2053.7639898719585</v>
      </c>
      <c r="BD192" s="312"/>
      <c r="BE192" s="194">
        <f>BC192-BD192</f>
        <v>2053.7639898719585</v>
      </c>
      <c r="BF192" s="159"/>
      <c r="BG192" s="244"/>
      <c r="BH192" s="194">
        <f>BF192-BG192</f>
        <v>0</v>
      </c>
      <c r="BI192" s="159"/>
      <c r="BJ192" s="244"/>
      <c r="BK192" s="194">
        <f>BI192-BJ192</f>
        <v>0</v>
      </c>
      <c r="BL192" s="312"/>
      <c r="BM192" s="312"/>
      <c r="BN192" s="195">
        <f>BL192-BM192</f>
        <v>0</v>
      </c>
      <c r="BO192" s="251">
        <v>0</v>
      </c>
      <c r="BP192" s="364"/>
      <c r="BQ192" s="364"/>
      <c r="BR192" s="364"/>
      <c r="BS192" s="249" t="str">
        <f>AG192 &amp; BO192</f>
        <v>За счет платы за технологическое присоединение0</v>
      </c>
      <c r="BT192" s="364"/>
      <c r="BU192" s="364"/>
      <c r="BV192" s="364"/>
      <c r="BW192" s="364"/>
      <c r="BX192" s="364"/>
      <c r="BY192" s="249" t="str">
        <f>AG192&amp;AH192</f>
        <v>За счет платы за технологическое присоединениенет</v>
      </c>
      <c r="BZ192" s="250"/>
    </row>
    <row r="193" spans="3:78" ht="14.25">
      <c r="C193" s="97"/>
      <c r="D193" s="367"/>
      <c r="E193" s="370"/>
      <c r="F193" s="406"/>
      <c r="G193" s="376"/>
      <c r="H193" s="379"/>
      <c r="I193" s="382"/>
      <c r="J193" s="382"/>
      <c r="K193" s="385"/>
      <c r="L193" s="388"/>
      <c r="M193" s="391"/>
      <c r="N193" s="394"/>
      <c r="O193" s="397"/>
      <c r="P193" s="400"/>
      <c r="Q193" s="403"/>
      <c r="R193" s="362"/>
      <c r="S193" s="362"/>
      <c r="T193" s="362"/>
      <c r="U193" s="362"/>
      <c r="V193" s="362"/>
      <c r="W193" s="362"/>
      <c r="X193" s="362"/>
      <c r="Y193" s="362"/>
      <c r="Z193" s="362"/>
      <c r="AA193" s="362"/>
      <c r="AB193" s="362"/>
      <c r="AC193" s="362"/>
      <c r="AD193" s="362"/>
      <c r="AE193" s="322" t="s">
        <v>1240</v>
      </c>
      <c r="AF193" s="217" t="s">
        <v>118</v>
      </c>
      <c r="AG193" s="196" t="s">
        <v>223</v>
      </c>
      <c r="AH193" s="302" t="s">
        <v>19</v>
      </c>
      <c r="AI193" s="301" t="s">
        <v>154</v>
      </c>
      <c r="AJ193" s="221"/>
      <c r="AK193" s="221"/>
      <c r="AL193" s="221"/>
      <c r="AM193" s="221"/>
      <c r="AN193" s="221"/>
      <c r="AO193" s="221"/>
      <c r="AP193" s="302" t="s">
        <v>19</v>
      </c>
      <c r="AQ193" s="195">
        <f>SUM(AT193,AW193,AZ193,BC193,BF193,BI193,BL193)</f>
        <v>410.75279797439134</v>
      </c>
      <c r="AR193" s="197">
        <f>SUM(AT193,AX193,BA193,BD193,BG193,BJ193,BM193)</f>
        <v>0</v>
      </c>
      <c r="AS193" s="195">
        <f>AQ193-AR193</f>
        <v>410.75279797439134</v>
      </c>
      <c r="AT193" s="315"/>
      <c r="AU193" s="315"/>
      <c r="AV193" s="241"/>
      <c r="AW193" s="198"/>
      <c r="AX193" s="313"/>
      <c r="AY193" s="199">
        <f>AW193-AX193</f>
        <v>0</v>
      </c>
      <c r="AZ193" s="173"/>
      <c r="BA193" s="313"/>
      <c r="BB193" s="199">
        <f>AZ193-BA193</f>
        <v>0</v>
      </c>
      <c r="BC193" s="198">
        <f>2464.51678784635-BC192</f>
        <v>410.75279797439134</v>
      </c>
      <c r="BD193" s="313"/>
      <c r="BE193" s="199">
        <f>BC193-BD193</f>
        <v>410.75279797439134</v>
      </c>
      <c r="BF193" s="198"/>
      <c r="BG193" s="241"/>
      <c r="BH193" s="199">
        <f>BF193-BG193</f>
        <v>0</v>
      </c>
      <c r="BI193" s="198"/>
      <c r="BJ193" s="241"/>
      <c r="BK193" s="199">
        <f>BI193-BJ193</f>
        <v>0</v>
      </c>
      <c r="BL193" s="313"/>
      <c r="BM193" s="313"/>
      <c r="BN193" s="195">
        <f>BL193-BM193</f>
        <v>0</v>
      </c>
      <c r="BO193" s="251">
        <v>0</v>
      </c>
      <c r="BP193" s="364"/>
      <c r="BQ193" s="364"/>
      <c r="BR193" s="364"/>
      <c r="BS193" s="249" t="str">
        <f>AG193 &amp; BO193</f>
        <v>Прочие собственные средства0</v>
      </c>
      <c r="BT193" s="364"/>
      <c r="BU193" s="364"/>
      <c r="BV193" s="364"/>
      <c r="BW193" s="364"/>
      <c r="BX193" s="364"/>
      <c r="BY193" s="249" t="str">
        <f>AG193&amp;AH193</f>
        <v>Прочие собственные средстванет</v>
      </c>
      <c r="BZ193" s="250"/>
    </row>
    <row r="194" spans="3:78" ht="15" customHeight="1">
      <c r="C194" s="306"/>
      <c r="D194" s="367"/>
      <c r="E194" s="370"/>
      <c r="F194" s="406"/>
      <c r="G194" s="376"/>
      <c r="H194" s="379"/>
      <c r="I194" s="382"/>
      <c r="J194" s="382"/>
      <c r="K194" s="385"/>
      <c r="L194" s="388"/>
      <c r="M194" s="391"/>
      <c r="N194" s="395"/>
      <c r="O194" s="398"/>
      <c r="P194" s="401"/>
      <c r="Q194" s="404"/>
      <c r="R194" s="363"/>
      <c r="S194" s="363"/>
      <c r="T194" s="363"/>
      <c r="U194" s="363"/>
      <c r="V194" s="363"/>
      <c r="W194" s="363"/>
      <c r="X194" s="363"/>
      <c r="Y194" s="363"/>
      <c r="Z194" s="363"/>
      <c r="AA194" s="363"/>
      <c r="AB194" s="363"/>
      <c r="AC194" s="363"/>
      <c r="AD194" s="363"/>
      <c r="AE194" s="279" t="s">
        <v>379</v>
      </c>
      <c r="AF194" s="203"/>
      <c r="AG194" s="223" t="s">
        <v>24</v>
      </c>
      <c r="AH194" s="223"/>
      <c r="AI194" s="223"/>
      <c r="AJ194" s="223"/>
      <c r="AK194" s="223"/>
      <c r="AL194" s="223"/>
      <c r="AM194" s="223"/>
      <c r="AN194" s="223"/>
      <c r="AO194" s="223"/>
      <c r="AP194" s="168"/>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70"/>
      <c r="BO194" s="251"/>
      <c r="BP194" s="364"/>
      <c r="BQ194" s="364"/>
      <c r="BR194" s="364"/>
      <c r="BS194" s="250"/>
      <c r="BT194" s="364"/>
      <c r="BU194" s="364"/>
      <c r="BV194" s="364"/>
      <c r="BW194" s="364"/>
      <c r="BX194" s="364"/>
      <c r="BY194" s="250"/>
    </row>
    <row r="195" spans="3:78" ht="15" customHeight="1" thickBot="1">
      <c r="C195" s="307"/>
      <c r="D195" s="368"/>
      <c r="E195" s="371"/>
      <c r="F195" s="407"/>
      <c r="G195" s="377"/>
      <c r="H195" s="380"/>
      <c r="I195" s="383"/>
      <c r="J195" s="383"/>
      <c r="K195" s="386"/>
      <c r="L195" s="389"/>
      <c r="M195" s="392"/>
      <c r="N195" s="280" t="s">
        <v>380</v>
      </c>
      <c r="O195" s="212"/>
      <c r="P195" s="365" t="s">
        <v>154</v>
      </c>
      <c r="Q195" s="365"/>
      <c r="R195" s="171"/>
      <c r="S195" s="171"/>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7"/>
      <c r="BO195" s="251"/>
      <c r="BP195" s="250"/>
      <c r="BQ195" s="250"/>
      <c r="BR195" s="250"/>
      <c r="BS195" s="250"/>
      <c r="BT195" s="250"/>
      <c r="BU195" s="250"/>
      <c r="BY195" s="250"/>
    </row>
    <row r="196" spans="3:78" ht="11.25" customHeight="1">
      <c r="C196" s="97" t="s">
        <v>1240</v>
      </c>
      <c r="D196" s="366" t="s">
        <v>359</v>
      </c>
      <c r="E196" s="369" t="s">
        <v>198</v>
      </c>
      <c r="F196" s="405" t="s">
        <v>207</v>
      </c>
      <c r="G196" s="375" t="s">
        <v>1306</v>
      </c>
      <c r="H196" s="378" t="s">
        <v>715</v>
      </c>
      <c r="I196" s="381" t="s">
        <v>715</v>
      </c>
      <c r="J196" s="381" t="s">
        <v>716</v>
      </c>
      <c r="K196" s="384">
        <v>2</v>
      </c>
      <c r="L196" s="387" t="s">
        <v>4</v>
      </c>
      <c r="M196" s="390">
        <v>0</v>
      </c>
      <c r="N196" s="163"/>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c r="BB196" s="161"/>
      <c r="BC196" s="161"/>
      <c r="BD196" s="161"/>
      <c r="BE196" s="161"/>
      <c r="BF196" s="161"/>
      <c r="BG196" s="161"/>
      <c r="BH196" s="161"/>
      <c r="BI196" s="161"/>
      <c r="BJ196" s="161"/>
      <c r="BK196" s="161"/>
      <c r="BL196" s="161"/>
      <c r="BM196" s="161"/>
      <c r="BN196" s="162"/>
      <c r="BO196" s="251"/>
      <c r="BP196" s="250"/>
      <c r="BQ196" s="250"/>
      <c r="BR196" s="250"/>
      <c r="BS196" s="250"/>
      <c r="BT196" s="250"/>
      <c r="BU196" s="250"/>
      <c r="BY196" s="250"/>
    </row>
    <row r="197" spans="3:78" ht="11.25" customHeight="1">
      <c r="C197" s="306"/>
      <c r="D197" s="367"/>
      <c r="E197" s="370"/>
      <c r="F197" s="406"/>
      <c r="G197" s="376"/>
      <c r="H197" s="379"/>
      <c r="I197" s="382"/>
      <c r="J197" s="382"/>
      <c r="K197" s="385"/>
      <c r="L197" s="388"/>
      <c r="M197" s="391"/>
      <c r="N197" s="393"/>
      <c r="O197" s="396">
        <v>1</v>
      </c>
      <c r="P197" s="399" t="s">
        <v>1297</v>
      </c>
      <c r="Q197" s="402"/>
      <c r="R197" s="361" t="s">
        <v>154</v>
      </c>
      <c r="S197" s="361" t="s">
        <v>154</v>
      </c>
      <c r="T197" s="361" t="s">
        <v>154</v>
      </c>
      <c r="U197" s="361" t="s">
        <v>154</v>
      </c>
      <c r="V197" s="361" t="s">
        <v>154</v>
      </c>
      <c r="W197" s="361" t="s">
        <v>154</v>
      </c>
      <c r="X197" s="361" t="s">
        <v>154</v>
      </c>
      <c r="Y197" s="361" t="s">
        <v>154</v>
      </c>
      <c r="Z197" s="361" t="s">
        <v>154</v>
      </c>
      <c r="AA197" s="361" t="s">
        <v>154</v>
      </c>
      <c r="AB197" s="361" t="s">
        <v>154</v>
      </c>
      <c r="AC197" s="361" t="s">
        <v>154</v>
      </c>
      <c r="AD197" s="361" t="s">
        <v>154</v>
      </c>
      <c r="AE197" s="209"/>
      <c r="AF197" s="220">
        <v>0</v>
      </c>
      <c r="AG197" s="219" t="s">
        <v>308</v>
      </c>
      <c r="AH197" s="219"/>
      <c r="AI197" s="219"/>
      <c r="AJ197" s="219"/>
      <c r="AK197" s="219"/>
      <c r="AL197" s="219"/>
      <c r="AM197" s="219"/>
      <c r="AN197" s="219"/>
      <c r="AO197" s="219"/>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5"/>
      <c r="BO197" s="251"/>
      <c r="BP197" s="364" t="s">
        <v>1298</v>
      </c>
      <c r="BQ197" s="364" t="s">
        <v>1298</v>
      </c>
      <c r="BR197" s="364" t="s">
        <v>1298</v>
      </c>
      <c r="BS197" s="250"/>
      <c r="BT197" s="364" t="s">
        <v>1298</v>
      </c>
      <c r="BU197" s="364" t="s">
        <v>1298</v>
      </c>
      <c r="BV197" s="364" t="s">
        <v>1298</v>
      </c>
      <c r="BW197" s="364" t="s">
        <v>1298</v>
      </c>
      <c r="BX197" s="364" t="s">
        <v>1298</v>
      </c>
      <c r="BY197" s="250"/>
    </row>
    <row r="198" spans="3:78" ht="14.25">
      <c r="C198" s="306"/>
      <c r="D198" s="367"/>
      <c r="E198" s="370"/>
      <c r="F198" s="406"/>
      <c r="G198" s="376"/>
      <c r="H198" s="379"/>
      <c r="I198" s="382"/>
      <c r="J198" s="382"/>
      <c r="K198" s="385"/>
      <c r="L198" s="388"/>
      <c r="M198" s="391"/>
      <c r="N198" s="394"/>
      <c r="O198" s="397"/>
      <c r="P198" s="400"/>
      <c r="Q198" s="403"/>
      <c r="R198" s="362"/>
      <c r="S198" s="362"/>
      <c r="T198" s="362"/>
      <c r="U198" s="362"/>
      <c r="V198" s="362"/>
      <c r="W198" s="362"/>
      <c r="X198" s="362"/>
      <c r="Y198" s="362"/>
      <c r="Z198" s="362"/>
      <c r="AA198" s="362"/>
      <c r="AB198" s="362"/>
      <c r="AC198" s="362"/>
      <c r="AD198" s="362"/>
      <c r="AE198" s="193"/>
      <c r="AF198" s="217" t="s">
        <v>268</v>
      </c>
      <c r="AG198" s="158" t="s">
        <v>327</v>
      </c>
      <c r="AH198" s="300" t="s">
        <v>19</v>
      </c>
      <c r="AI198" s="301" t="s">
        <v>154</v>
      </c>
      <c r="AJ198" s="221"/>
      <c r="AK198" s="221"/>
      <c r="AL198" s="221"/>
      <c r="AM198" s="221"/>
      <c r="AN198" s="221"/>
      <c r="AO198" s="221"/>
      <c r="AP198" s="302" t="s">
        <v>19</v>
      </c>
      <c r="AQ198" s="195">
        <f>SUM(AT198,AW198,AZ198,BC198,BF198,BI198,BL198)</f>
        <v>82013.489757264106</v>
      </c>
      <c r="AR198" s="197">
        <f>SUM(AT198,AX198,BA198,BD198,BG198,BJ198,BM198)</f>
        <v>0</v>
      </c>
      <c r="AS198" s="195">
        <f>AQ198-AR198</f>
        <v>82013.489757264106</v>
      </c>
      <c r="AT198" s="312"/>
      <c r="AU198" s="312"/>
      <c r="AV198" s="244"/>
      <c r="AW198" s="160">
        <v>943.75103029155002</v>
      </c>
      <c r="AX198" s="312"/>
      <c r="AY198" s="194">
        <f>AW198-AX198</f>
        <v>943.75103029155002</v>
      </c>
      <c r="AZ198" s="160">
        <v>81069.738726972559</v>
      </c>
      <c r="BA198" s="312"/>
      <c r="BB198" s="194">
        <f>AZ198-BA198</f>
        <v>81069.738726972559</v>
      </c>
      <c r="BC198" s="159"/>
      <c r="BD198" s="312"/>
      <c r="BE198" s="194">
        <f>BC198-BD198</f>
        <v>0</v>
      </c>
      <c r="BF198" s="159"/>
      <c r="BG198" s="244"/>
      <c r="BH198" s="194">
        <f>BF198-BG198</f>
        <v>0</v>
      </c>
      <c r="BI198" s="159"/>
      <c r="BJ198" s="244"/>
      <c r="BK198" s="194">
        <f>BI198-BJ198</f>
        <v>0</v>
      </c>
      <c r="BL198" s="312"/>
      <c r="BM198" s="312"/>
      <c r="BN198" s="195">
        <f>BL198-BM198</f>
        <v>0</v>
      </c>
      <c r="BO198" s="251">
        <v>0</v>
      </c>
      <c r="BP198" s="364"/>
      <c r="BQ198" s="364"/>
      <c r="BR198" s="364"/>
      <c r="BS198" s="249" t="str">
        <f>AG198 &amp; BO198</f>
        <v>За счет платы за технологическое присоединение0</v>
      </c>
      <c r="BT198" s="364"/>
      <c r="BU198" s="364"/>
      <c r="BV198" s="364"/>
      <c r="BW198" s="364"/>
      <c r="BX198" s="364"/>
      <c r="BY198" s="249" t="str">
        <f>AG198&amp;AH198</f>
        <v>За счет платы за технологическое присоединениенет</v>
      </c>
      <c r="BZ198" s="250"/>
    </row>
    <row r="199" spans="3:78" ht="14.25">
      <c r="C199" s="97"/>
      <c r="D199" s="367"/>
      <c r="E199" s="370"/>
      <c r="F199" s="406"/>
      <c r="G199" s="376"/>
      <c r="H199" s="379"/>
      <c r="I199" s="382"/>
      <c r="J199" s="382"/>
      <c r="K199" s="385"/>
      <c r="L199" s="388"/>
      <c r="M199" s="391"/>
      <c r="N199" s="394"/>
      <c r="O199" s="397"/>
      <c r="P199" s="400"/>
      <c r="Q199" s="403"/>
      <c r="R199" s="362"/>
      <c r="S199" s="362"/>
      <c r="T199" s="362"/>
      <c r="U199" s="362"/>
      <c r="V199" s="362"/>
      <c r="W199" s="362"/>
      <c r="X199" s="362"/>
      <c r="Y199" s="362"/>
      <c r="Z199" s="362"/>
      <c r="AA199" s="362"/>
      <c r="AB199" s="362"/>
      <c r="AC199" s="362"/>
      <c r="AD199" s="362"/>
      <c r="AE199" s="322" t="s">
        <v>1240</v>
      </c>
      <c r="AF199" s="217" t="s">
        <v>118</v>
      </c>
      <c r="AG199" s="196" t="s">
        <v>223</v>
      </c>
      <c r="AH199" s="302" t="s">
        <v>19</v>
      </c>
      <c r="AI199" s="301" t="s">
        <v>154</v>
      </c>
      <c r="AJ199" s="221"/>
      <c r="AK199" s="221"/>
      <c r="AL199" s="221"/>
      <c r="AM199" s="221"/>
      <c r="AN199" s="221"/>
      <c r="AO199" s="221"/>
      <c r="AP199" s="302" t="s">
        <v>19</v>
      </c>
      <c r="AQ199" s="195">
        <f>SUM(AT199,AW199,AZ199,BC199,BF199,BI199,BL199)</f>
        <v>16402.697951452854</v>
      </c>
      <c r="AR199" s="197">
        <f>SUM(AT199,AX199,BA199,BD199,BG199,BJ199,BM199)</f>
        <v>0</v>
      </c>
      <c r="AS199" s="195">
        <f>AQ199-AR199</f>
        <v>16402.697951452854</v>
      </c>
      <c r="AT199" s="315"/>
      <c r="AU199" s="315"/>
      <c r="AV199" s="241"/>
      <c r="AW199" s="173">
        <f>1132.50123634986-AW198</f>
        <v>188.75020605830991</v>
      </c>
      <c r="AX199" s="313"/>
      <c r="AY199" s="199">
        <f>AW199-AX199</f>
        <v>188.75020605830991</v>
      </c>
      <c r="AZ199" s="173">
        <f>97283.6864723671-AZ198</f>
        <v>16213.947745394544</v>
      </c>
      <c r="BA199" s="313"/>
      <c r="BB199" s="199">
        <f>AZ199-BA199</f>
        <v>16213.947745394544</v>
      </c>
      <c r="BC199" s="198"/>
      <c r="BD199" s="313"/>
      <c r="BE199" s="199">
        <f>BC199-BD199</f>
        <v>0</v>
      </c>
      <c r="BF199" s="198"/>
      <c r="BG199" s="241"/>
      <c r="BH199" s="199">
        <f>BF199-BG199</f>
        <v>0</v>
      </c>
      <c r="BI199" s="198"/>
      <c r="BJ199" s="241"/>
      <c r="BK199" s="199">
        <f>BI199-BJ199</f>
        <v>0</v>
      </c>
      <c r="BL199" s="313"/>
      <c r="BM199" s="313"/>
      <c r="BN199" s="195">
        <f>BL199-BM199</f>
        <v>0</v>
      </c>
      <c r="BO199" s="251">
        <v>0</v>
      </c>
      <c r="BP199" s="364"/>
      <c r="BQ199" s="364"/>
      <c r="BR199" s="364"/>
      <c r="BS199" s="249" t="str">
        <f>AG199 &amp; BO199</f>
        <v>Прочие собственные средства0</v>
      </c>
      <c r="BT199" s="364"/>
      <c r="BU199" s="364"/>
      <c r="BV199" s="364"/>
      <c r="BW199" s="364"/>
      <c r="BX199" s="364"/>
      <c r="BY199" s="249" t="str">
        <f>AG199&amp;AH199</f>
        <v>Прочие собственные средстванет</v>
      </c>
      <c r="BZ199" s="250"/>
    </row>
    <row r="200" spans="3:78" ht="15" customHeight="1">
      <c r="C200" s="306"/>
      <c r="D200" s="367"/>
      <c r="E200" s="370"/>
      <c r="F200" s="406"/>
      <c r="G200" s="376"/>
      <c r="H200" s="379"/>
      <c r="I200" s="382"/>
      <c r="J200" s="382"/>
      <c r="K200" s="385"/>
      <c r="L200" s="388"/>
      <c r="M200" s="391"/>
      <c r="N200" s="395"/>
      <c r="O200" s="398"/>
      <c r="P200" s="401"/>
      <c r="Q200" s="404"/>
      <c r="R200" s="363"/>
      <c r="S200" s="363"/>
      <c r="T200" s="363"/>
      <c r="U200" s="363"/>
      <c r="V200" s="363"/>
      <c r="W200" s="363"/>
      <c r="X200" s="363"/>
      <c r="Y200" s="363"/>
      <c r="Z200" s="363"/>
      <c r="AA200" s="363"/>
      <c r="AB200" s="363"/>
      <c r="AC200" s="363"/>
      <c r="AD200" s="363"/>
      <c r="AE200" s="279" t="s">
        <v>379</v>
      </c>
      <c r="AF200" s="203"/>
      <c r="AG200" s="223" t="s">
        <v>24</v>
      </c>
      <c r="AH200" s="223"/>
      <c r="AI200" s="223"/>
      <c r="AJ200" s="223"/>
      <c r="AK200" s="223"/>
      <c r="AL200" s="223"/>
      <c r="AM200" s="223"/>
      <c r="AN200" s="223"/>
      <c r="AO200" s="223"/>
      <c r="AP200" s="168"/>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70"/>
      <c r="BO200" s="251"/>
      <c r="BP200" s="364"/>
      <c r="BQ200" s="364"/>
      <c r="BR200" s="364"/>
      <c r="BS200" s="250"/>
      <c r="BT200" s="364"/>
      <c r="BU200" s="364"/>
      <c r="BV200" s="364"/>
      <c r="BW200" s="364"/>
      <c r="BX200" s="364"/>
      <c r="BY200" s="250"/>
    </row>
    <row r="201" spans="3:78" ht="15" customHeight="1" thickBot="1">
      <c r="C201" s="307"/>
      <c r="D201" s="368"/>
      <c r="E201" s="371"/>
      <c r="F201" s="407"/>
      <c r="G201" s="377"/>
      <c r="H201" s="380"/>
      <c r="I201" s="383"/>
      <c r="J201" s="383"/>
      <c r="K201" s="386"/>
      <c r="L201" s="389"/>
      <c r="M201" s="392"/>
      <c r="N201" s="280" t="s">
        <v>380</v>
      </c>
      <c r="O201" s="212"/>
      <c r="P201" s="365" t="s">
        <v>154</v>
      </c>
      <c r="Q201" s="365"/>
      <c r="R201" s="171"/>
      <c r="S201" s="171"/>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7"/>
      <c r="BO201" s="251"/>
      <c r="BP201" s="250"/>
      <c r="BQ201" s="250"/>
      <c r="BR201" s="250"/>
      <c r="BS201" s="250"/>
      <c r="BT201" s="250"/>
      <c r="BU201" s="250"/>
      <c r="BY201" s="250"/>
    </row>
    <row r="202" spans="3:78" ht="11.25" customHeight="1">
      <c r="C202" s="97" t="s">
        <v>1240</v>
      </c>
      <c r="D202" s="366" t="s">
        <v>376</v>
      </c>
      <c r="E202" s="369" t="s">
        <v>198</v>
      </c>
      <c r="F202" s="405" t="s">
        <v>207</v>
      </c>
      <c r="G202" s="375" t="s">
        <v>1502</v>
      </c>
      <c r="H202" s="378" t="s">
        <v>715</v>
      </c>
      <c r="I202" s="381" t="s">
        <v>715</v>
      </c>
      <c r="J202" s="381" t="s">
        <v>716</v>
      </c>
      <c r="K202" s="384">
        <v>2</v>
      </c>
      <c r="L202" s="387" t="s">
        <v>5</v>
      </c>
      <c r="M202" s="390">
        <v>0</v>
      </c>
      <c r="N202" s="163"/>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1"/>
      <c r="BA202" s="161"/>
      <c r="BB202" s="161"/>
      <c r="BC202" s="161"/>
      <c r="BD202" s="161"/>
      <c r="BE202" s="161"/>
      <c r="BF202" s="161"/>
      <c r="BG202" s="161"/>
      <c r="BH202" s="161"/>
      <c r="BI202" s="161"/>
      <c r="BJ202" s="161"/>
      <c r="BK202" s="161"/>
      <c r="BL202" s="161"/>
      <c r="BM202" s="161"/>
      <c r="BN202" s="162"/>
      <c r="BO202" s="251"/>
      <c r="BP202" s="250"/>
      <c r="BQ202" s="250"/>
      <c r="BR202" s="250"/>
      <c r="BS202" s="250"/>
      <c r="BT202" s="250"/>
      <c r="BU202" s="250"/>
      <c r="BY202" s="250"/>
    </row>
    <row r="203" spans="3:78" ht="11.25" customHeight="1">
      <c r="C203" s="306"/>
      <c r="D203" s="367"/>
      <c r="E203" s="370"/>
      <c r="F203" s="406"/>
      <c r="G203" s="376"/>
      <c r="H203" s="379"/>
      <c r="I203" s="382"/>
      <c r="J203" s="382"/>
      <c r="K203" s="385"/>
      <c r="L203" s="388"/>
      <c r="M203" s="391"/>
      <c r="N203" s="393"/>
      <c r="O203" s="396">
        <v>1</v>
      </c>
      <c r="P203" s="399" t="s">
        <v>1297</v>
      </c>
      <c r="Q203" s="402"/>
      <c r="R203" s="361" t="s">
        <v>154</v>
      </c>
      <c r="S203" s="361" t="s">
        <v>154</v>
      </c>
      <c r="T203" s="361" t="s">
        <v>154</v>
      </c>
      <c r="U203" s="361" t="s">
        <v>154</v>
      </c>
      <c r="V203" s="361" t="s">
        <v>154</v>
      </c>
      <c r="W203" s="361" t="s">
        <v>154</v>
      </c>
      <c r="X203" s="361" t="s">
        <v>154</v>
      </c>
      <c r="Y203" s="361" t="s">
        <v>154</v>
      </c>
      <c r="Z203" s="361" t="s">
        <v>154</v>
      </c>
      <c r="AA203" s="361" t="s">
        <v>154</v>
      </c>
      <c r="AB203" s="361" t="s">
        <v>154</v>
      </c>
      <c r="AC203" s="361" t="s">
        <v>154</v>
      </c>
      <c r="AD203" s="361" t="s">
        <v>154</v>
      </c>
      <c r="AE203" s="209"/>
      <c r="AF203" s="220">
        <v>0</v>
      </c>
      <c r="AG203" s="219" t="s">
        <v>308</v>
      </c>
      <c r="AH203" s="219"/>
      <c r="AI203" s="219"/>
      <c r="AJ203" s="219"/>
      <c r="AK203" s="219"/>
      <c r="AL203" s="219"/>
      <c r="AM203" s="219"/>
      <c r="AN203" s="219"/>
      <c r="AO203" s="219"/>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c r="BN203" s="165"/>
      <c r="BO203" s="251"/>
      <c r="BP203" s="364" t="s">
        <v>1298</v>
      </c>
      <c r="BQ203" s="364" t="s">
        <v>1298</v>
      </c>
      <c r="BR203" s="364" t="s">
        <v>1298</v>
      </c>
      <c r="BS203" s="250"/>
      <c r="BT203" s="364" t="s">
        <v>1298</v>
      </c>
      <c r="BU203" s="364" t="s">
        <v>1298</v>
      </c>
      <c r="BV203" s="364" t="s">
        <v>1298</v>
      </c>
      <c r="BW203" s="364" t="s">
        <v>1298</v>
      </c>
      <c r="BX203" s="364" t="s">
        <v>1298</v>
      </c>
      <c r="BY203" s="250"/>
    </row>
    <row r="204" spans="3:78" ht="14.25">
      <c r="C204" s="306"/>
      <c r="D204" s="367"/>
      <c r="E204" s="370"/>
      <c r="F204" s="406"/>
      <c r="G204" s="376"/>
      <c r="H204" s="379"/>
      <c r="I204" s="382"/>
      <c r="J204" s="382"/>
      <c r="K204" s="385"/>
      <c r="L204" s="388"/>
      <c r="M204" s="391"/>
      <c r="N204" s="394"/>
      <c r="O204" s="397"/>
      <c r="P204" s="400"/>
      <c r="Q204" s="403"/>
      <c r="R204" s="362"/>
      <c r="S204" s="362"/>
      <c r="T204" s="362"/>
      <c r="U204" s="362"/>
      <c r="V204" s="362"/>
      <c r="W204" s="362"/>
      <c r="X204" s="362"/>
      <c r="Y204" s="362"/>
      <c r="Z204" s="362"/>
      <c r="AA204" s="362"/>
      <c r="AB204" s="362"/>
      <c r="AC204" s="362"/>
      <c r="AD204" s="362"/>
      <c r="AE204" s="193"/>
      <c r="AF204" s="217" t="s">
        <v>268</v>
      </c>
      <c r="AG204" s="158" t="s">
        <v>327</v>
      </c>
      <c r="AH204" s="300" t="s">
        <v>19</v>
      </c>
      <c r="AI204" s="301" t="s">
        <v>154</v>
      </c>
      <c r="AJ204" s="221"/>
      <c r="AK204" s="221"/>
      <c r="AL204" s="221"/>
      <c r="AM204" s="221"/>
      <c r="AN204" s="221"/>
      <c r="AO204" s="221"/>
      <c r="AP204" s="302" t="s">
        <v>19</v>
      </c>
      <c r="AQ204" s="195">
        <f>SUM(AT204,AW204,AZ204,BC204,BF204,BI204,BL204)</f>
        <v>12688.768246936002</v>
      </c>
      <c r="AR204" s="197">
        <f>SUM(AT204,AX204,BA204,BD204,BG204,BJ204,BM204)</f>
        <v>0</v>
      </c>
      <c r="AS204" s="195">
        <f>AQ204-AR204</f>
        <v>12688.768246936002</v>
      </c>
      <c r="AT204" s="312"/>
      <c r="AU204" s="312"/>
      <c r="AV204" s="244"/>
      <c r="AW204" s="159"/>
      <c r="AX204" s="312"/>
      <c r="AY204" s="194">
        <f>AW204-AX204</f>
        <v>0</v>
      </c>
      <c r="AZ204" s="160">
        <v>1219.4941802762987</v>
      </c>
      <c r="BA204" s="312"/>
      <c r="BB204" s="194">
        <f>AZ204-BA204</f>
        <v>1219.4941802762987</v>
      </c>
      <c r="BC204" s="159">
        <v>11469.274066659704</v>
      </c>
      <c r="BD204" s="312"/>
      <c r="BE204" s="194">
        <f>BC204-BD204</f>
        <v>11469.274066659704</v>
      </c>
      <c r="BF204" s="159"/>
      <c r="BG204" s="244"/>
      <c r="BH204" s="194">
        <f>BF204-BG204</f>
        <v>0</v>
      </c>
      <c r="BI204" s="159"/>
      <c r="BJ204" s="244"/>
      <c r="BK204" s="194">
        <f>BI204-BJ204</f>
        <v>0</v>
      </c>
      <c r="BL204" s="312"/>
      <c r="BM204" s="312"/>
      <c r="BN204" s="195">
        <f>BL204-BM204</f>
        <v>0</v>
      </c>
      <c r="BO204" s="251">
        <v>0</v>
      </c>
      <c r="BP204" s="364"/>
      <c r="BQ204" s="364"/>
      <c r="BR204" s="364"/>
      <c r="BS204" s="249" t="str">
        <f>AG204 &amp; BO204</f>
        <v>За счет платы за технологическое присоединение0</v>
      </c>
      <c r="BT204" s="364"/>
      <c r="BU204" s="364"/>
      <c r="BV204" s="364"/>
      <c r="BW204" s="364"/>
      <c r="BX204" s="364"/>
      <c r="BY204" s="249" t="str">
        <f>AG204&amp;AH204</f>
        <v>За счет платы за технологическое присоединениенет</v>
      </c>
      <c r="BZ204" s="250"/>
    </row>
    <row r="205" spans="3:78" ht="14.25">
      <c r="C205" s="97"/>
      <c r="D205" s="367"/>
      <c r="E205" s="370"/>
      <c r="F205" s="406"/>
      <c r="G205" s="376"/>
      <c r="H205" s="379"/>
      <c r="I205" s="382"/>
      <c r="J205" s="382"/>
      <c r="K205" s="385"/>
      <c r="L205" s="388"/>
      <c r="M205" s="391"/>
      <c r="N205" s="394"/>
      <c r="O205" s="397"/>
      <c r="P205" s="400"/>
      <c r="Q205" s="403"/>
      <c r="R205" s="362"/>
      <c r="S205" s="362"/>
      <c r="T205" s="362"/>
      <c r="U205" s="362"/>
      <c r="V205" s="362"/>
      <c r="W205" s="362"/>
      <c r="X205" s="362"/>
      <c r="Y205" s="362"/>
      <c r="Z205" s="362"/>
      <c r="AA205" s="362"/>
      <c r="AB205" s="362"/>
      <c r="AC205" s="362"/>
      <c r="AD205" s="362"/>
      <c r="AE205" s="322" t="s">
        <v>1240</v>
      </c>
      <c r="AF205" s="217" t="s">
        <v>118</v>
      </c>
      <c r="AG205" s="196" t="s">
        <v>223</v>
      </c>
      <c r="AH205" s="302" t="s">
        <v>19</v>
      </c>
      <c r="AI205" s="301" t="s">
        <v>154</v>
      </c>
      <c r="AJ205" s="221"/>
      <c r="AK205" s="221"/>
      <c r="AL205" s="221"/>
      <c r="AM205" s="221"/>
      <c r="AN205" s="221"/>
      <c r="AO205" s="221"/>
      <c r="AP205" s="302" t="s">
        <v>19</v>
      </c>
      <c r="AQ205" s="195">
        <f>SUM(AT205,AW205,AZ205,BC205,BF205,BI205,BL205)</f>
        <v>2537.7536493871576</v>
      </c>
      <c r="AR205" s="197">
        <f>SUM(AT205,AX205,BA205,BD205,BG205,BJ205,BM205)</f>
        <v>0</v>
      </c>
      <c r="AS205" s="195">
        <f>AQ205-AR205</f>
        <v>2537.7536493871576</v>
      </c>
      <c r="AT205" s="315"/>
      <c r="AU205" s="315"/>
      <c r="AV205" s="241"/>
      <c r="AW205" s="198"/>
      <c r="AX205" s="313"/>
      <c r="AY205" s="199">
        <f>AW205-AX205</f>
        <v>0</v>
      </c>
      <c r="AZ205" s="173">
        <f>1463.39301633156-AZ204</f>
        <v>243.8988360552612</v>
      </c>
      <c r="BA205" s="313"/>
      <c r="BB205" s="199">
        <f>AZ205-BA205</f>
        <v>243.8988360552612</v>
      </c>
      <c r="BC205" s="198">
        <f>13763.1288799916-BC204</f>
        <v>2293.8548133318964</v>
      </c>
      <c r="BD205" s="313"/>
      <c r="BE205" s="199">
        <f>BC205-BD205</f>
        <v>2293.8548133318964</v>
      </c>
      <c r="BF205" s="198"/>
      <c r="BG205" s="241"/>
      <c r="BH205" s="199">
        <f>BF205-BG205</f>
        <v>0</v>
      </c>
      <c r="BI205" s="198"/>
      <c r="BJ205" s="241"/>
      <c r="BK205" s="199">
        <f>BI205-BJ205</f>
        <v>0</v>
      </c>
      <c r="BL205" s="313"/>
      <c r="BM205" s="313"/>
      <c r="BN205" s="195">
        <f>BL205-BM205</f>
        <v>0</v>
      </c>
      <c r="BO205" s="251">
        <v>0</v>
      </c>
      <c r="BP205" s="364"/>
      <c r="BQ205" s="364"/>
      <c r="BR205" s="364"/>
      <c r="BS205" s="249" t="str">
        <f>AG205 &amp; BO205</f>
        <v>Прочие собственные средства0</v>
      </c>
      <c r="BT205" s="364"/>
      <c r="BU205" s="364"/>
      <c r="BV205" s="364"/>
      <c r="BW205" s="364"/>
      <c r="BX205" s="364"/>
      <c r="BY205" s="249" t="str">
        <f>AG205&amp;AH205</f>
        <v>Прочие собственные средстванет</v>
      </c>
      <c r="BZ205" s="250"/>
    </row>
    <row r="206" spans="3:78" ht="15" customHeight="1">
      <c r="C206" s="306"/>
      <c r="D206" s="367"/>
      <c r="E206" s="370"/>
      <c r="F206" s="406"/>
      <c r="G206" s="376"/>
      <c r="H206" s="379"/>
      <c r="I206" s="382"/>
      <c r="J206" s="382"/>
      <c r="K206" s="385"/>
      <c r="L206" s="388"/>
      <c r="M206" s="391"/>
      <c r="N206" s="395"/>
      <c r="O206" s="398"/>
      <c r="P206" s="401"/>
      <c r="Q206" s="404"/>
      <c r="R206" s="363"/>
      <c r="S206" s="363"/>
      <c r="T206" s="363"/>
      <c r="U206" s="363"/>
      <c r="V206" s="363"/>
      <c r="W206" s="363"/>
      <c r="X206" s="363"/>
      <c r="Y206" s="363"/>
      <c r="Z206" s="363"/>
      <c r="AA206" s="363"/>
      <c r="AB206" s="363"/>
      <c r="AC206" s="363"/>
      <c r="AD206" s="363"/>
      <c r="AE206" s="279" t="s">
        <v>379</v>
      </c>
      <c r="AF206" s="203"/>
      <c r="AG206" s="223" t="s">
        <v>24</v>
      </c>
      <c r="AH206" s="223"/>
      <c r="AI206" s="223"/>
      <c r="AJ206" s="223"/>
      <c r="AK206" s="223"/>
      <c r="AL206" s="223"/>
      <c r="AM206" s="223"/>
      <c r="AN206" s="223"/>
      <c r="AO206" s="223"/>
      <c r="AP206" s="168"/>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70"/>
      <c r="BO206" s="251"/>
      <c r="BP206" s="364"/>
      <c r="BQ206" s="364"/>
      <c r="BR206" s="364"/>
      <c r="BS206" s="250"/>
      <c r="BT206" s="364"/>
      <c r="BU206" s="364"/>
      <c r="BV206" s="364"/>
      <c r="BW206" s="364"/>
      <c r="BX206" s="364"/>
      <c r="BY206" s="250"/>
    </row>
    <row r="207" spans="3:78" ht="15" customHeight="1" thickBot="1">
      <c r="C207" s="307"/>
      <c r="D207" s="368"/>
      <c r="E207" s="371"/>
      <c r="F207" s="407"/>
      <c r="G207" s="377"/>
      <c r="H207" s="380"/>
      <c r="I207" s="383"/>
      <c r="J207" s="383"/>
      <c r="K207" s="386"/>
      <c r="L207" s="389"/>
      <c r="M207" s="392"/>
      <c r="N207" s="280" t="s">
        <v>380</v>
      </c>
      <c r="O207" s="212"/>
      <c r="P207" s="365" t="s">
        <v>154</v>
      </c>
      <c r="Q207" s="365"/>
      <c r="R207" s="171"/>
      <c r="S207" s="171"/>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7"/>
      <c r="BO207" s="251"/>
      <c r="BP207" s="250"/>
      <c r="BQ207" s="250"/>
      <c r="BR207" s="250"/>
      <c r="BS207" s="250"/>
      <c r="BT207" s="250"/>
      <c r="BU207" s="250"/>
      <c r="BY207" s="250"/>
    </row>
    <row r="208" spans="3:78" ht="11.25" customHeight="1">
      <c r="C208" s="97" t="s">
        <v>1240</v>
      </c>
      <c r="D208" s="366" t="s">
        <v>1273</v>
      </c>
      <c r="E208" s="369" t="s">
        <v>198</v>
      </c>
      <c r="F208" s="405" t="s">
        <v>207</v>
      </c>
      <c r="G208" s="375" t="s">
        <v>1503</v>
      </c>
      <c r="H208" s="378" t="s">
        <v>715</v>
      </c>
      <c r="I208" s="381" t="s">
        <v>715</v>
      </c>
      <c r="J208" s="381" t="s">
        <v>716</v>
      </c>
      <c r="K208" s="384">
        <v>1</v>
      </c>
      <c r="L208" s="387" t="s">
        <v>5</v>
      </c>
      <c r="M208" s="390">
        <v>0</v>
      </c>
      <c r="N208" s="163"/>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c r="AX208" s="161"/>
      <c r="AY208" s="161"/>
      <c r="AZ208" s="161"/>
      <c r="BA208" s="161"/>
      <c r="BB208" s="161"/>
      <c r="BC208" s="161"/>
      <c r="BD208" s="161"/>
      <c r="BE208" s="161"/>
      <c r="BF208" s="161"/>
      <c r="BG208" s="161"/>
      <c r="BH208" s="161"/>
      <c r="BI208" s="161"/>
      <c r="BJ208" s="161"/>
      <c r="BK208" s="161"/>
      <c r="BL208" s="161"/>
      <c r="BM208" s="161"/>
      <c r="BN208" s="162"/>
      <c r="BO208" s="251"/>
      <c r="BP208" s="250"/>
      <c r="BQ208" s="250"/>
      <c r="BR208" s="250"/>
      <c r="BS208" s="250"/>
      <c r="BT208" s="250"/>
      <c r="BU208" s="250"/>
      <c r="BY208" s="250"/>
    </row>
    <row r="209" spans="3:78" ht="11.25" customHeight="1">
      <c r="C209" s="306"/>
      <c r="D209" s="367"/>
      <c r="E209" s="370"/>
      <c r="F209" s="406"/>
      <c r="G209" s="376"/>
      <c r="H209" s="379"/>
      <c r="I209" s="382"/>
      <c r="J209" s="382"/>
      <c r="K209" s="385"/>
      <c r="L209" s="388"/>
      <c r="M209" s="391"/>
      <c r="N209" s="393"/>
      <c r="O209" s="396">
        <v>1</v>
      </c>
      <c r="P209" s="399" t="s">
        <v>1297</v>
      </c>
      <c r="Q209" s="402"/>
      <c r="R209" s="361" t="s">
        <v>154</v>
      </c>
      <c r="S209" s="361" t="s">
        <v>154</v>
      </c>
      <c r="T209" s="361" t="s">
        <v>154</v>
      </c>
      <c r="U209" s="361" t="s">
        <v>154</v>
      </c>
      <c r="V209" s="361" t="s">
        <v>154</v>
      </c>
      <c r="W209" s="361" t="s">
        <v>154</v>
      </c>
      <c r="X209" s="361" t="s">
        <v>154</v>
      </c>
      <c r="Y209" s="361" t="s">
        <v>154</v>
      </c>
      <c r="Z209" s="361" t="s">
        <v>154</v>
      </c>
      <c r="AA209" s="361" t="s">
        <v>154</v>
      </c>
      <c r="AB209" s="361" t="s">
        <v>154</v>
      </c>
      <c r="AC209" s="361" t="s">
        <v>154</v>
      </c>
      <c r="AD209" s="361" t="s">
        <v>154</v>
      </c>
      <c r="AE209" s="209"/>
      <c r="AF209" s="220">
        <v>0</v>
      </c>
      <c r="AG209" s="219" t="s">
        <v>308</v>
      </c>
      <c r="AH209" s="219"/>
      <c r="AI209" s="219"/>
      <c r="AJ209" s="219"/>
      <c r="AK209" s="219"/>
      <c r="AL209" s="219"/>
      <c r="AM209" s="219"/>
      <c r="AN209" s="219"/>
      <c r="AO209" s="219"/>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5"/>
      <c r="BO209" s="251"/>
      <c r="BP209" s="364" t="s">
        <v>1298</v>
      </c>
      <c r="BQ209" s="364" t="s">
        <v>1298</v>
      </c>
      <c r="BR209" s="364" t="s">
        <v>1298</v>
      </c>
      <c r="BS209" s="250"/>
      <c r="BT209" s="364" t="s">
        <v>1298</v>
      </c>
      <c r="BU209" s="364" t="s">
        <v>1298</v>
      </c>
      <c r="BV209" s="364" t="s">
        <v>1298</v>
      </c>
      <c r="BW209" s="364" t="s">
        <v>1298</v>
      </c>
      <c r="BX209" s="364" t="s">
        <v>1298</v>
      </c>
      <c r="BY209" s="250"/>
    </row>
    <row r="210" spans="3:78" ht="14.25">
      <c r="C210" s="306"/>
      <c r="D210" s="367"/>
      <c r="E210" s="370"/>
      <c r="F210" s="406"/>
      <c r="G210" s="376"/>
      <c r="H210" s="379"/>
      <c r="I210" s="382"/>
      <c r="J210" s="382"/>
      <c r="K210" s="385"/>
      <c r="L210" s="388"/>
      <c r="M210" s="391"/>
      <c r="N210" s="394"/>
      <c r="O210" s="397"/>
      <c r="P210" s="400"/>
      <c r="Q210" s="403"/>
      <c r="R210" s="362"/>
      <c r="S210" s="362"/>
      <c r="T210" s="362"/>
      <c r="U210" s="362"/>
      <c r="V210" s="362"/>
      <c r="W210" s="362"/>
      <c r="X210" s="362"/>
      <c r="Y210" s="362"/>
      <c r="Z210" s="362"/>
      <c r="AA210" s="362"/>
      <c r="AB210" s="362"/>
      <c r="AC210" s="362"/>
      <c r="AD210" s="362"/>
      <c r="AE210" s="193"/>
      <c r="AF210" s="217" t="s">
        <v>268</v>
      </c>
      <c r="AG210" s="158" t="s">
        <v>327</v>
      </c>
      <c r="AH210" s="300" t="s">
        <v>19</v>
      </c>
      <c r="AI210" s="301" t="s">
        <v>154</v>
      </c>
      <c r="AJ210" s="221"/>
      <c r="AK210" s="221"/>
      <c r="AL210" s="221"/>
      <c r="AM210" s="221"/>
      <c r="AN210" s="221"/>
      <c r="AO210" s="221"/>
      <c r="AP210" s="302" t="s">
        <v>19</v>
      </c>
      <c r="AQ210" s="195">
        <f>SUM(AT210,AW210,AZ210,BC210,BF210,BI210,BL210)</f>
        <v>2355.3260303794359</v>
      </c>
      <c r="AR210" s="197">
        <f>SUM(AT210,AX210,BA210,BD210,BG210,BJ210,BM210)</f>
        <v>0</v>
      </c>
      <c r="AS210" s="195">
        <f>AQ210-AR210</f>
        <v>2355.3260303794359</v>
      </c>
      <c r="AT210" s="312"/>
      <c r="AU210" s="312"/>
      <c r="AV210" s="244"/>
      <c r="AW210" s="159"/>
      <c r="AX210" s="312"/>
      <c r="AY210" s="194">
        <f>AW210-AX210</f>
        <v>0</v>
      </c>
      <c r="AZ210" s="160"/>
      <c r="BA210" s="312"/>
      <c r="BB210" s="194">
        <f>AZ210-BA210</f>
        <v>0</v>
      </c>
      <c r="BC210" s="159">
        <v>2355.3260303794359</v>
      </c>
      <c r="BD210" s="312"/>
      <c r="BE210" s="194">
        <f>BC210-BD210</f>
        <v>2355.3260303794359</v>
      </c>
      <c r="BF210" s="159"/>
      <c r="BG210" s="244"/>
      <c r="BH210" s="194">
        <f>BF210-BG210</f>
        <v>0</v>
      </c>
      <c r="BI210" s="159"/>
      <c r="BJ210" s="244"/>
      <c r="BK210" s="194">
        <f>BI210-BJ210</f>
        <v>0</v>
      </c>
      <c r="BL210" s="312"/>
      <c r="BM210" s="312"/>
      <c r="BN210" s="195">
        <f>BL210-BM210</f>
        <v>0</v>
      </c>
      <c r="BO210" s="251">
        <v>0</v>
      </c>
      <c r="BP210" s="364"/>
      <c r="BQ210" s="364"/>
      <c r="BR210" s="364"/>
      <c r="BS210" s="249" t="str">
        <f>AG210 &amp; BO210</f>
        <v>За счет платы за технологическое присоединение0</v>
      </c>
      <c r="BT210" s="364"/>
      <c r="BU210" s="364"/>
      <c r="BV210" s="364"/>
      <c r="BW210" s="364"/>
      <c r="BX210" s="364"/>
      <c r="BY210" s="249" t="str">
        <f>AG210&amp;AH210</f>
        <v>За счет платы за технологическое присоединениенет</v>
      </c>
      <c r="BZ210" s="250"/>
    </row>
    <row r="211" spans="3:78" ht="14.25">
      <c r="C211" s="97"/>
      <c r="D211" s="367"/>
      <c r="E211" s="370"/>
      <c r="F211" s="406"/>
      <c r="G211" s="376"/>
      <c r="H211" s="379"/>
      <c r="I211" s="382"/>
      <c r="J211" s="382"/>
      <c r="K211" s="385"/>
      <c r="L211" s="388"/>
      <c r="M211" s="391"/>
      <c r="N211" s="394"/>
      <c r="O211" s="397"/>
      <c r="P211" s="400"/>
      <c r="Q211" s="403"/>
      <c r="R211" s="362"/>
      <c r="S211" s="362"/>
      <c r="T211" s="362"/>
      <c r="U211" s="362"/>
      <c r="V211" s="362"/>
      <c r="W211" s="362"/>
      <c r="X211" s="362"/>
      <c r="Y211" s="362"/>
      <c r="Z211" s="362"/>
      <c r="AA211" s="362"/>
      <c r="AB211" s="362"/>
      <c r="AC211" s="362"/>
      <c r="AD211" s="362"/>
      <c r="AE211" s="322" t="s">
        <v>1240</v>
      </c>
      <c r="AF211" s="217" t="s">
        <v>118</v>
      </c>
      <c r="AG211" s="196" t="s">
        <v>223</v>
      </c>
      <c r="AH211" s="302" t="s">
        <v>19</v>
      </c>
      <c r="AI211" s="301" t="s">
        <v>154</v>
      </c>
      <c r="AJ211" s="221"/>
      <c r="AK211" s="221"/>
      <c r="AL211" s="221"/>
      <c r="AM211" s="221"/>
      <c r="AN211" s="221"/>
      <c r="AO211" s="221"/>
      <c r="AP211" s="302" t="s">
        <v>19</v>
      </c>
      <c r="AQ211" s="195">
        <f>SUM(AT211,AW211,AZ211,BC211,BF211,BI211,BL211)</f>
        <v>471.06520607588391</v>
      </c>
      <c r="AR211" s="197">
        <f>SUM(AT211,AX211,BA211,BD211,BG211,BJ211,BM211)</f>
        <v>0</v>
      </c>
      <c r="AS211" s="195">
        <f>AQ211-AR211</f>
        <v>471.06520607588391</v>
      </c>
      <c r="AT211" s="315"/>
      <c r="AU211" s="315"/>
      <c r="AV211" s="241"/>
      <c r="AW211" s="198"/>
      <c r="AX211" s="313"/>
      <c r="AY211" s="199">
        <f>AW211-AX211</f>
        <v>0</v>
      </c>
      <c r="AZ211" s="173"/>
      <c r="BA211" s="313"/>
      <c r="BB211" s="199">
        <f>AZ211-BA211</f>
        <v>0</v>
      </c>
      <c r="BC211" s="198">
        <f>2826.39123645532-BC210</f>
        <v>471.06520607588391</v>
      </c>
      <c r="BD211" s="313"/>
      <c r="BE211" s="199">
        <f>BC211-BD211</f>
        <v>471.06520607588391</v>
      </c>
      <c r="BF211" s="198"/>
      <c r="BG211" s="241"/>
      <c r="BH211" s="199">
        <f>BF211-BG211</f>
        <v>0</v>
      </c>
      <c r="BI211" s="198"/>
      <c r="BJ211" s="241"/>
      <c r="BK211" s="199">
        <f>BI211-BJ211</f>
        <v>0</v>
      </c>
      <c r="BL211" s="313"/>
      <c r="BM211" s="313"/>
      <c r="BN211" s="195">
        <f>BL211-BM211</f>
        <v>0</v>
      </c>
      <c r="BO211" s="251">
        <v>0</v>
      </c>
      <c r="BP211" s="364"/>
      <c r="BQ211" s="364"/>
      <c r="BR211" s="364"/>
      <c r="BS211" s="249" t="str">
        <f>AG211 &amp; BO211</f>
        <v>Прочие собственные средства0</v>
      </c>
      <c r="BT211" s="364"/>
      <c r="BU211" s="364"/>
      <c r="BV211" s="364"/>
      <c r="BW211" s="364"/>
      <c r="BX211" s="364"/>
      <c r="BY211" s="249" t="str">
        <f>AG211&amp;AH211</f>
        <v>Прочие собственные средстванет</v>
      </c>
      <c r="BZ211" s="250"/>
    </row>
    <row r="212" spans="3:78" ht="15" customHeight="1">
      <c r="C212" s="306"/>
      <c r="D212" s="367"/>
      <c r="E212" s="370"/>
      <c r="F212" s="406"/>
      <c r="G212" s="376"/>
      <c r="H212" s="379"/>
      <c r="I212" s="382"/>
      <c r="J212" s="382"/>
      <c r="K212" s="385"/>
      <c r="L212" s="388"/>
      <c r="M212" s="391"/>
      <c r="N212" s="395"/>
      <c r="O212" s="398"/>
      <c r="P212" s="401"/>
      <c r="Q212" s="404"/>
      <c r="R212" s="363"/>
      <c r="S212" s="363"/>
      <c r="T212" s="363"/>
      <c r="U212" s="363"/>
      <c r="V212" s="363"/>
      <c r="W212" s="363"/>
      <c r="X212" s="363"/>
      <c r="Y212" s="363"/>
      <c r="Z212" s="363"/>
      <c r="AA212" s="363"/>
      <c r="AB212" s="363"/>
      <c r="AC212" s="363"/>
      <c r="AD212" s="363"/>
      <c r="AE212" s="279" t="s">
        <v>379</v>
      </c>
      <c r="AF212" s="203"/>
      <c r="AG212" s="223" t="s">
        <v>24</v>
      </c>
      <c r="AH212" s="223"/>
      <c r="AI212" s="223"/>
      <c r="AJ212" s="223"/>
      <c r="AK212" s="223"/>
      <c r="AL212" s="223"/>
      <c r="AM212" s="223"/>
      <c r="AN212" s="223"/>
      <c r="AO212" s="223"/>
      <c r="AP212" s="168"/>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70"/>
      <c r="BO212" s="251"/>
      <c r="BP212" s="364"/>
      <c r="BQ212" s="364"/>
      <c r="BR212" s="364"/>
      <c r="BS212" s="250"/>
      <c r="BT212" s="364"/>
      <c r="BU212" s="364"/>
      <c r="BV212" s="364"/>
      <c r="BW212" s="364"/>
      <c r="BX212" s="364"/>
      <c r="BY212" s="250"/>
    </row>
    <row r="213" spans="3:78" ht="15" customHeight="1" thickBot="1">
      <c r="C213" s="307"/>
      <c r="D213" s="368"/>
      <c r="E213" s="371"/>
      <c r="F213" s="407"/>
      <c r="G213" s="377"/>
      <c r="H213" s="380"/>
      <c r="I213" s="383"/>
      <c r="J213" s="383"/>
      <c r="K213" s="386"/>
      <c r="L213" s="389"/>
      <c r="M213" s="392"/>
      <c r="N213" s="280" t="s">
        <v>380</v>
      </c>
      <c r="O213" s="212"/>
      <c r="P213" s="365" t="s">
        <v>154</v>
      </c>
      <c r="Q213" s="365"/>
      <c r="R213" s="171"/>
      <c r="S213" s="171"/>
      <c r="T213" s="166"/>
      <c r="U213" s="166"/>
      <c r="V213" s="166"/>
      <c r="W213" s="166"/>
      <c r="X213" s="166"/>
      <c r="Y213" s="166"/>
      <c r="Z213" s="166"/>
      <c r="AA213" s="166"/>
      <c r="AB213" s="166"/>
      <c r="AC213" s="166"/>
      <c r="AD213" s="166"/>
      <c r="AE213" s="166"/>
      <c r="AF213" s="166"/>
      <c r="AG213" s="166"/>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7"/>
      <c r="BO213" s="251"/>
      <c r="BP213" s="250"/>
      <c r="BQ213" s="250"/>
      <c r="BR213" s="250"/>
      <c r="BS213" s="250"/>
      <c r="BT213" s="250"/>
      <c r="BU213" s="250"/>
      <c r="BY213" s="250"/>
    </row>
    <row r="214" spans="3:78" ht="11.25" customHeight="1">
      <c r="C214" s="97" t="s">
        <v>1240</v>
      </c>
      <c r="D214" s="366" t="s">
        <v>1274</v>
      </c>
      <c r="E214" s="369" t="s">
        <v>198</v>
      </c>
      <c r="F214" s="405" t="s">
        <v>207</v>
      </c>
      <c r="G214" s="375" t="s">
        <v>1504</v>
      </c>
      <c r="H214" s="378" t="s">
        <v>715</v>
      </c>
      <c r="I214" s="381" t="s">
        <v>715</v>
      </c>
      <c r="J214" s="381" t="s">
        <v>716</v>
      </c>
      <c r="K214" s="384">
        <v>2</v>
      </c>
      <c r="L214" s="387" t="s">
        <v>4</v>
      </c>
      <c r="M214" s="390">
        <v>0</v>
      </c>
      <c r="N214" s="163"/>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c r="AX214" s="161"/>
      <c r="AY214" s="161"/>
      <c r="AZ214" s="161"/>
      <c r="BA214" s="161"/>
      <c r="BB214" s="161"/>
      <c r="BC214" s="161"/>
      <c r="BD214" s="161"/>
      <c r="BE214" s="161"/>
      <c r="BF214" s="161"/>
      <c r="BG214" s="161"/>
      <c r="BH214" s="161"/>
      <c r="BI214" s="161"/>
      <c r="BJ214" s="161"/>
      <c r="BK214" s="161"/>
      <c r="BL214" s="161"/>
      <c r="BM214" s="161"/>
      <c r="BN214" s="162"/>
      <c r="BO214" s="251"/>
      <c r="BP214" s="250"/>
      <c r="BQ214" s="250"/>
      <c r="BR214" s="250"/>
      <c r="BS214" s="250"/>
      <c r="BT214" s="250"/>
      <c r="BU214" s="250"/>
      <c r="BY214" s="250"/>
    </row>
    <row r="215" spans="3:78" ht="11.25" customHeight="1">
      <c r="C215" s="306"/>
      <c r="D215" s="367"/>
      <c r="E215" s="370"/>
      <c r="F215" s="406"/>
      <c r="G215" s="376"/>
      <c r="H215" s="379"/>
      <c r="I215" s="382"/>
      <c r="J215" s="382"/>
      <c r="K215" s="385"/>
      <c r="L215" s="388"/>
      <c r="M215" s="391"/>
      <c r="N215" s="393"/>
      <c r="O215" s="396">
        <v>1</v>
      </c>
      <c r="P215" s="399" t="s">
        <v>1297</v>
      </c>
      <c r="Q215" s="402"/>
      <c r="R215" s="361" t="s">
        <v>154</v>
      </c>
      <c r="S215" s="361" t="s">
        <v>154</v>
      </c>
      <c r="T215" s="361" t="s">
        <v>154</v>
      </c>
      <c r="U215" s="361" t="s">
        <v>154</v>
      </c>
      <c r="V215" s="361" t="s">
        <v>154</v>
      </c>
      <c r="W215" s="361" t="s">
        <v>154</v>
      </c>
      <c r="X215" s="361" t="s">
        <v>154</v>
      </c>
      <c r="Y215" s="361" t="s">
        <v>154</v>
      </c>
      <c r="Z215" s="361" t="s">
        <v>154</v>
      </c>
      <c r="AA215" s="361" t="s">
        <v>154</v>
      </c>
      <c r="AB215" s="361" t="s">
        <v>154</v>
      </c>
      <c r="AC215" s="361" t="s">
        <v>154</v>
      </c>
      <c r="AD215" s="361" t="s">
        <v>154</v>
      </c>
      <c r="AE215" s="209"/>
      <c r="AF215" s="220">
        <v>0</v>
      </c>
      <c r="AG215" s="219" t="s">
        <v>308</v>
      </c>
      <c r="AH215" s="219"/>
      <c r="AI215" s="219"/>
      <c r="AJ215" s="219"/>
      <c r="AK215" s="219"/>
      <c r="AL215" s="219"/>
      <c r="AM215" s="219"/>
      <c r="AN215" s="219"/>
      <c r="AO215" s="219"/>
      <c r="AP215" s="164"/>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64"/>
      <c r="BM215" s="164"/>
      <c r="BN215" s="165"/>
      <c r="BO215" s="251"/>
      <c r="BP215" s="364" t="s">
        <v>1298</v>
      </c>
      <c r="BQ215" s="364" t="s">
        <v>1298</v>
      </c>
      <c r="BR215" s="364" t="s">
        <v>1298</v>
      </c>
      <c r="BS215" s="250"/>
      <c r="BT215" s="364" t="s">
        <v>1298</v>
      </c>
      <c r="BU215" s="364" t="s">
        <v>1298</v>
      </c>
      <c r="BV215" s="364" t="s">
        <v>1298</v>
      </c>
      <c r="BW215" s="364" t="s">
        <v>1298</v>
      </c>
      <c r="BX215" s="364" t="s">
        <v>1298</v>
      </c>
      <c r="BY215" s="250"/>
    </row>
    <row r="216" spans="3:78" ht="14.25">
      <c r="C216" s="306"/>
      <c r="D216" s="367"/>
      <c r="E216" s="370"/>
      <c r="F216" s="406"/>
      <c r="G216" s="376"/>
      <c r="H216" s="379"/>
      <c r="I216" s="382"/>
      <c r="J216" s="382"/>
      <c r="K216" s="385"/>
      <c r="L216" s="388"/>
      <c r="M216" s="391"/>
      <c r="N216" s="394"/>
      <c r="O216" s="397"/>
      <c r="P216" s="400"/>
      <c r="Q216" s="403"/>
      <c r="R216" s="362"/>
      <c r="S216" s="362"/>
      <c r="T216" s="362"/>
      <c r="U216" s="362"/>
      <c r="V216" s="362"/>
      <c r="W216" s="362"/>
      <c r="X216" s="362"/>
      <c r="Y216" s="362"/>
      <c r="Z216" s="362"/>
      <c r="AA216" s="362"/>
      <c r="AB216" s="362"/>
      <c r="AC216" s="362"/>
      <c r="AD216" s="362"/>
      <c r="AE216" s="193"/>
      <c r="AF216" s="217" t="s">
        <v>268</v>
      </c>
      <c r="AG216" s="158" t="s">
        <v>327</v>
      </c>
      <c r="AH216" s="300" t="s">
        <v>19</v>
      </c>
      <c r="AI216" s="301" t="s">
        <v>154</v>
      </c>
      <c r="AJ216" s="221"/>
      <c r="AK216" s="221"/>
      <c r="AL216" s="221"/>
      <c r="AM216" s="221"/>
      <c r="AN216" s="221"/>
      <c r="AO216" s="221"/>
      <c r="AP216" s="302" t="s">
        <v>19</v>
      </c>
      <c r="AQ216" s="195">
        <f>SUM(AT216,AW216,AZ216,BC216,BF216,BI216,BL216)</f>
        <v>19082.999953122879</v>
      </c>
      <c r="AR216" s="197">
        <f>SUM(AT216,AX216,BA216,BD216,BG216,BJ216,BM216)</f>
        <v>0</v>
      </c>
      <c r="AS216" s="195">
        <f>AQ216-AR216</f>
        <v>19082.999953122879</v>
      </c>
      <c r="AT216" s="312"/>
      <c r="AU216" s="312"/>
      <c r="AV216" s="244"/>
      <c r="AW216" s="159">
        <v>847.61335322679588</v>
      </c>
      <c r="AX216" s="312"/>
      <c r="AY216" s="194">
        <f>AW216-AX216</f>
        <v>847.61335322679588</v>
      </c>
      <c r="AZ216" s="160">
        <v>18235.386599896083</v>
      </c>
      <c r="BA216" s="312"/>
      <c r="BB216" s="194">
        <f>AZ216-BA216</f>
        <v>18235.386599896083</v>
      </c>
      <c r="BC216" s="159"/>
      <c r="BD216" s="312"/>
      <c r="BE216" s="194">
        <f>BC216-BD216</f>
        <v>0</v>
      </c>
      <c r="BF216" s="159"/>
      <c r="BG216" s="244"/>
      <c r="BH216" s="194">
        <f>BF216-BG216</f>
        <v>0</v>
      </c>
      <c r="BI216" s="159"/>
      <c r="BJ216" s="244"/>
      <c r="BK216" s="194">
        <f>BI216-BJ216</f>
        <v>0</v>
      </c>
      <c r="BL216" s="312"/>
      <c r="BM216" s="312"/>
      <c r="BN216" s="195">
        <f>BL216-BM216</f>
        <v>0</v>
      </c>
      <c r="BO216" s="251">
        <v>0</v>
      </c>
      <c r="BP216" s="364"/>
      <c r="BQ216" s="364"/>
      <c r="BR216" s="364"/>
      <c r="BS216" s="249" t="str">
        <f>AG216 &amp; BO216</f>
        <v>За счет платы за технологическое присоединение0</v>
      </c>
      <c r="BT216" s="364"/>
      <c r="BU216" s="364"/>
      <c r="BV216" s="364"/>
      <c r="BW216" s="364"/>
      <c r="BX216" s="364"/>
      <c r="BY216" s="249" t="str">
        <f>AG216&amp;AH216</f>
        <v>За счет платы за технологическое присоединениенет</v>
      </c>
      <c r="BZ216" s="250"/>
    </row>
    <row r="217" spans="3:78" ht="14.25">
      <c r="C217" s="97"/>
      <c r="D217" s="367"/>
      <c r="E217" s="370"/>
      <c r="F217" s="406"/>
      <c r="G217" s="376"/>
      <c r="H217" s="379"/>
      <c r="I217" s="382"/>
      <c r="J217" s="382"/>
      <c r="K217" s="385"/>
      <c r="L217" s="388"/>
      <c r="M217" s="391"/>
      <c r="N217" s="394"/>
      <c r="O217" s="397"/>
      <c r="P217" s="400"/>
      <c r="Q217" s="403"/>
      <c r="R217" s="362"/>
      <c r="S217" s="362"/>
      <c r="T217" s="362"/>
      <c r="U217" s="362"/>
      <c r="V217" s="362"/>
      <c r="W217" s="362"/>
      <c r="X217" s="362"/>
      <c r="Y217" s="362"/>
      <c r="Z217" s="362"/>
      <c r="AA217" s="362"/>
      <c r="AB217" s="362"/>
      <c r="AC217" s="362"/>
      <c r="AD217" s="362"/>
      <c r="AE217" s="322" t="s">
        <v>1240</v>
      </c>
      <c r="AF217" s="217" t="s">
        <v>118</v>
      </c>
      <c r="AG217" s="196" t="s">
        <v>223</v>
      </c>
      <c r="AH217" s="302" t="s">
        <v>19</v>
      </c>
      <c r="AI217" s="301" t="s">
        <v>154</v>
      </c>
      <c r="AJ217" s="221"/>
      <c r="AK217" s="221"/>
      <c r="AL217" s="221"/>
      <c r="AM217" s="221"/>
      <c r="AN217" s="221"/>
      <c r="AO217" s="221"/>
      <c r="AP217" s="302" t="s">
        <v>19</v>
      </c>
      <c r="AQ217" s="195">
        <f>SUM(AT217,AW217,AZ217,BC217,BF217,BI217,BL217)</f>
        <v>3816.5999906245706</v>
      </c>
      <c r="AR217" s="197">
        <f>SUM(AT217,AX217,BA217,BD217,BG217,BJ217,BM217)</f>
        <v>0</v>
      </c>
      <c r="AS217" s="195">
        <f>AQ217-AR217</f>
        <v>3816.5999906245706</v>
      </c>
      <c r="AT217" s="315"/>
      <c r="AU217" s="315"/>
      <c r="AV217" s="241"/>
      <c r="AW217" s="198">
        <f>1017.13602387215-AW216</f>
        <v>169.52267064535408</v>
      </c>
      <c r="AX217" s="313"/>
      <c r="AY217" s="199">
        <f>AW217-AX217</f>
        <v>169.52267064535408</v>
      </c>
      <c r="AZ217" s="173">
        <f>21882.4639198753-AZ216</f>
        <v>3647.0773199792166</v>
      </c>
      <c r="BA217" s="313"/>
      <c r="BB217" s="199">
        <f>AZ217-BA217</f>
        <v>3647.0773199792166</v>
      </c>
      <c r="BC217" s="198"/>
      <c r="BD217" s="313"/>
      <c r="BE217" s="199">
        <f>BC217-BD217</f>
        <v>0</v>
      </c>
      <c r="BF217" s="198"/>
      <c r="BG217" s="241"/>
      <c r="BH217" s="199">
        <f>BF217-BG217</f>
        <v>0</v>
      </c>
      <c r="BI217" s="198"/>
      <c r="BJ217" s="241"/>
      <c r="BK217" s="199">
        <f>BI217-BJ217</f>
        <v>0</v>
      </c>
      <c r="BL217" s="313"/>
      <c r="BM217" s="313"/>
      <c r="BN217" s="195">
        <f>BL217-BM217</f>
        <v>0</v>
      </c>
      <c r="BO217" s="251">
        <v>0</v>
      </c>
      <c r="BP217" s="364"/>
      <c r="BQ217" s="364"/>
      <c r="BR217" s="364"/>
      <c r="BS217" s="249" t="str">
        <f>AG217 &amp; BO217</f>
        <v>Прочие собственные средства0</v>
      </c>
      <c r="BT217" s="364"/>
      <c r="BU217" s="364"/>
      <c r="BV217" s="364"/>
      <c r="BW217" s="364"/>
      <c r="BX217" s="364"/>
      <c r="BY217" s="249" t="str">
        <f>AG217&amp;AH217</f>
        <v>Прочие собственные средстванет</v>
      </c>
      <c r="BZ217" s="250"/>
    </row>
    <row r="218" spans="3:78" ht="15" customHeight="1">
      <c r="C218" s="306"/>
      <c r="D218" s="367"/>
      <c r="E218" s="370"/>
      <c r="F218" s="406"/>
      <c r="G218" s="376"/>
      <c r="H218" s="379"/>
      <c r="I218" s="382"/>
      <c r="J218" s="382"/>
      <c r="K218" s="385"/>
      <c r="L218" s="388"/>
      <c r="M218" s="391"/>
      <c r="N218" s="395"/>
      <c r="O218" s="398"/>
      <c r="P218" s="401"/>
      <c r="Q218" s="404"/>
      <c r="R218" s="363"/>
      <c r="S218" s="363"/>
      <c r="T218" s="363"/>
      <c r="U218" s="363"/>
      <c r="V218" s="363"/>
      <c r="W218" s="363"/>
      <c r="X218" s="363"/>
      <c r="Y218" s="363"/>
      <c r="Z218" s="363"/>
      <c r="AA218" s="363"/>
      <c r="AB218" s="363"/>
      <c r="AC218" s="363"/>
      <c r="AD218" s="363"/>
      <c r="AE218" s="279" t="s">
        <v>379</v>
      </c>
      <c r="AF218" s="203"/>
      <c r="AG218" s="223" t="s">
        <v>24</v>
      </c>
      <c r="AH218" s="223"/>
      <c r="AI218" s="223"/>
      <c r="AJ218" s="223"/>
      <c r="AK218" s="223"/>
      <c r="AL218" s="223"/>
      <c r="AM218" s="223"/>
      <c r="AN218" s="223"/>
      <c r="AO218" s="223"/>
      <c r="AP218" s="168"/>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70"/>
      <c r="BO218" s="251"/>
      <c r="BP218" s="364"/>
      <c r="BQ218" s="364"/>
      <c r="BR218" s="364"/>
      <c r="BS218" s="250"/>
      <c r="BT218" s="364"/>
      <c r="BU218" s="364"/>
      <c r="BV218" s="364"/>
      <c r="BW218" s="364"/>
      <c r="BX218" s="364"/>
      <c r="BY218" s="250"/>
    </row>
    <row r="219" spans="3:78" ht="15" customHeight="1" thickBot="1">
      <c r="C219" s="307"/>
      <c r="D219" s="368"/>
      <c r="E219" s="371"/>
      <c r="F219" s="407"/>
      <c r="G219" s="377"/>
      <c r="H219" s="380"/>
      <c r="I219" s="383"/>
      <c r="J219" s="383"/>
      <c r="K219" s="386"/>
      <c r="L219" s="389"/>
      <c r="M219" s="392"/>
      <c r="N219" s="280" t="s">
        <v>380</v>
      </c>
      <c r="O219" s="212"/>
      <c r="P219" s="365" t="s">
        <v>154</v>
      </c>
      <c r="Q219" s="365"/>
      <c r="R219" s="171"/>
      <c r="S219" s="171"/>
      <c r="T219" s="166"/>
      <c r="U219" s="166"/>
      <c r="V219" s="166"/>
      <c r="W219" s="166"/>
      <c r="X219" s="166"/>
      <c r="Y219" s="166"/>
      <c r="Z219" s="166"/>
      <c r="AA219" s="166"/>
      <c r="AB219" s="166"/>
      <c r="AC219" s="166"/>
      <c r="AD219" s="166"/>
      <c r="AE219" s="166"/>
      <c r="AF219" s="166"/>
      <c r="AG219" s="166"/>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7"/>
      <c r="BO219" s="251"/>
      <c r="BP219" s="250"/>
      <c r="BQ219" s="250"/>
      <c r="BR219" s="250"/>
      <c r="BS219" s="250"/>
      <c r="BT219" s="250"/>
      <c r="BU219" s="250"/>
      <c r="BY219" s="250"/>
    </row>
    <row r="220" spans="3:78" ht="11.25" customHeight="1">
      <c r="C220" s="97" t="s">
        <v>1240</v>
      </c>
      <c r="D220" s="366" t="s">
        <v>1275</v>
      </c>
      <c r="E220" s="369" t="s">
        <v>198</v>
      </c>
      <c r="F220" s="405" t="s">
        <v>207</v>
      </c>
      <c r="G220" s="375" t="s">
        <v>1505</v>
      </c>
      <c r="H220" s="378" t="s">
        <v>715</v>
      </c>
      <c r="I220" s="381" t="s">
        <v>715</v>
      </c>
      <c r="J220" s="381" t="s">
        <v>716</v>
      </c>
      <c r="K220" s="384">
        <v>2</v>
      </c>
      <c r="L220" s="387" t="s">
        <v>4</v>
      </c>
      <c r="M220" s="390">
        <v>0</v>
      </c>
      <c r="N220" s="163"/>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1"/>
      <c r="AY220" s="161"/>
      <c r="AZ220" s="161"/>
      <c r="BA220" s="161"/>
      <c r="BB220" s="161"/>
      <c r="BC220" s="161"/>
      <c r="BD220" s="161"/>
      <c r="BE220" s="161"/>
      <c r="BF220" s="161"/>
      <c r="BG220" s="161"/>
      <c r="BH220" s="161"/>
      <c r="BI220" s="161"/>
      <c r="BJ220" s="161"/>
      <c r="BK220" s="161"/>
      <c r="BL220" s="161"/>
      <c r="BM220" s="161"/>
      <c r="BN220" s="162"/>
      <c r="BO220" s="251"/>
      <c r="BP220" s="250"/>
      <c r="BQ220" s="250"/>
      <c r="BR220" s="250"/>
      <c r="BS220" s="250"/>
      <c r="BT220" s="250"/>
      <c r="BU220" s="250"/>
      <c r="BY220" s="250"/>
    </row>
    <row r="221" spans="3:78" ht="11.25" customHeight="1">
      <c r="C221" s="306"/>
      <c r="D221" s="367"/>
      <c r="E221" s="370"/>
      <c r="F221" s="406"/>
      <c r="G221" s="376"/>
      <c r="H221" s="379"/>
      <c r="I221" s="382"/>
      <c r="J221" s="382"/>
      <c r="K221" s="385"/>
      <c r="L221" s="388"/>
      <c r="M221" s="391"/>
      <c r="N221" s="393"/>
      <c r="O221" s="396">
        <v>1</v>
      </c>
      <c r="P221" s="399" t="s">
        <v>1297</v>
      </c>
      <c r="Q221" s="402"/>
      <c r="R221" s="361" t="s">
        <v>154</v>
      </c>
      <c r="S221" s="361" t="s">
        <v>154</v>
      </c>
      <c r="T221" s="361" t="s">
        <v>154</v>
      </c>
      <c r="U221" s="361" t="s">
        <v>154</v>
      </c>
      <c r="V221" s="361" t="s">
        <v>154</v>
      </c>
      <c r="W221" s="361" t="s">
        <v>154</v>
      </c>
      <c r="X221" s="361" t="s">
        <v>154</v>
      </c>
      <c r="Y221" s="361" t="s">
        <v>154</v>
      </c>
      <c r="Z221" s="361" t="s">
        <v>154</v>
      </c>
      <c r="AA221" s="361" t="s">
        <v>154</v>
      </c>
      <c r="AB221" s="361" t="s">
        <v>154</v>
      </c>
      <c r="AC221" s="361" t="s">
        <v>154</v>
      </c>
      <c r="AD221" s="361" t="s">
        <v>154</v>
      </c>
      <c r="AE221" s="209"/>
      <c r="AF221" s="220">
        <v>0</v>
      </c>
      <c r="AG221" s="219" t="s">
        <v>308</v>
      </c>
      <c r="AH221" s="219"/>
      <c r="AI221" s="219"/>
      <c r="AJ221" s="219"/>
      <c r="AK221" s="219"/>
      <c r="AL221" s="219"/>
      <c r="AM221" s="219"/>
      <c r="AN221" s="219"/>
      <c r="AO221" s="219"/>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5"/>
      <c r="BO221" s="251"/>
      <c r="BP221" s="364" t="s">
        <v>1298</v>
      </c>
      <c r="BQ221" s="364" t="s">
        <v>1298</v>
      </c>
      <c r="BR221" s="364" t="s">
        <v>1298</v>
      </c>
      <c r="BS221" s="250"/>
      <c r="BT221" s="364" t="s">
        <v>1298</v>
      </c>
      <c r="BU221" s="364" t="s">
        <v>1298</v>
      </c>
      <c r="BV221" s="364" t="s">
        <v>1298</v>
      </c>
      <c r="BW221" s="364" t="s">
        <v>1298</v>
      </c>
      <c r="BX221" s="364" t="s">
        <v>1298</v>
      </c>
      <c r="BY221" s="250"/>
    </row>
    <row r="222" spans="3:78" ht="14.25">
      <c r="C222" s="306"/>
      <c r="D222" s="367"/>
      <c r="E222" s="370"/>
      <c r="F222" s="406"/>
      <c r="G222" s="376"/>
      <c r="H222" s="379"/>
      <c r="I222" s="382"/>
      <c r="J222" s="382"/>
      <c r="K222" s="385"/>
      <c r="L222" s="388"/>
      <c r="M222" s="391"/>
      <c r="N222" s="394"/>
      <c r="O222" s="397"/>
      <c r="P222" s="400"/>
      <c r="Q222" s="403"/>
      <c r="R222" s="362"/>
      <c r="S222" s="362"/>
      <c r="T222" s="362"/>
      <c r="U222" s="362"/>
      <c r="V222" s="362"/>
      <c r="W222" s="362"/>
      <c r="X222" s="362"/>
      <c r="Y222" s="362"/>
      <c r="Z222" s="362"/>
      <c r="AA222" s="362"/>
      <c r="AB222" s="362"/>
      <c r="AC222" s="362"/>
      <c r="AD222" s="362"/>
      <c r="AE222" s="193"/>
      <c r="AF222" s="217" t="s">
        <v>268</v>
      </c>
      <c r="AG222" s="158" t="s">
        <v>327</v>
      </c>
      <c r="AH222" s="300" t="s">
        <v>19</v>
      </c>
      <c r="AI222" s="301" t="s">
        <v>154</v>
      </c>
      <c r="AJ222" s="221"/>
      <c r="AK222" s="221"/>
      <c r="AL222" s="221"/>
      <c r="AM222" s="221"/>
      <c r="AN222" s="221"/>
      <c r="AO222" s="221"/>
      <c r="AP222" s="302" t="s">
        <v>19</v>
      </c>
      <c r="AQ222" s="195">
        <f>SUM(AT222,AW222,AZ222,BC222,BF222,BI222,BL222)</f>
        <v>12539.863042205588</v>
      </c>
      <c r="AR222" s="197">
        <f>SUM(AT222,AX222,BA222,BD222,BG222,BJ222,BM222)</f>
        <v>0</v>
      </c>
      <c r="AS222" s="195">
        <f>AQ222-AR222</f>
        <v>12539.863042205588</v>
      </c>
      <c r="AT222" s="312"/>
      <c r="AU222" s="312"/>
      <c r="AV222" s="244"/>
      <c r="AW222" s="159">
        <v>933.03676681136994</v>
      </c>
      <c r="AX222" s="312"/>
      <c r="AY222" s="194">
        <f>AW222-AX222</f>
        <v>933.03676681136994</v>
      </c>
      <c r="AZ222" s="160">
        <v>11606.826275394218</v>
      </c>
      <c r="BA222" s="312"/>
      <c r="BB222" s="194">
        <f>AZ222-BA222</f>
        <v>11606.826275394218</v>
      </c>
      <c r="BC222" s="159"/>
      <c r="BD222" s="312"/>
      <c r="BE222" s="194">
        <f>BC222-BD222</f>
        <v>0</v>
      </c>
      <c r="BF222" s="159"/>
      <c r="BG222" s="244"/>
      <c r="BH222" s="194">
        <f>BF222-BG222</f>
        <v>0</v>
      </c>
      <c r="BI222" s="159"/>
      <c r="BJ222" s="244"/>
      <c r="BK222" s="194">
        <f>BI222-BJ222</f>
        <v>0</v>
      </c>
      <c r="BL222" s="312"/>
      <c r="BM222" s="312"/>
      <c r="BN222" s="195">
        <f>BL222-BM222</f>
        <v>0</v>
      </c>
      <c r="BO222" s="251">
        <v>0</v>
      </c>
      <c r="BP222" s="364"/>
      <c r="BQ222" s="364"/>
      <c r="BR222" s="364"/>
      <c r="BS222" s="249" t="str">
        <f>AG222 &amp; BO222</f>
        <v>За счет платы за технологическое присоединение0</v>
      </c>
      <c r="BT222" s="364"/>
      <c r="BU222" s="364"/>
      <c r="BV222" s="364"/>
      <c r="BW222" s="364"/>
      <c r="BX222" s="364"/>
      <c r="BY222" s="249" t="str">
        <f>AG222&amp;AH222</f>
        <v>За счет платы за технологическое присоединениенет</v>
      </c>
      <c r="BZ222" s="250"/>
    </row>
    <row r="223" spans="3:78" ht="14.25">
      <c r="C223" s="97"/>
      <c r="D223" s="367"/>
      <c r="E223" s="370"/>
      <c r="F223" s="406"/>
      <c r="G223" s="376"/>
      <c r="H223" s="379"/>
      <c r="I223" s="382"/>
      <c r="J223" s="382"/>
      <c r="K223" s="385"/>
      <c r="L223" s="388"/>
      <c r="M223" s="391"/>
      <c r="N223" s="394"/>
      <c r="O223" s="397"/>
      <c r="P223" s="400"/>
      <c r="Q223" s="403"/>
      <c r="R223" s="362"/>
      <c r="S223" s="362"/>
      <c r="T223" s="362"/>
      <c r="U223" s="362"/>
      <c r="V223" s="362"/>
      <c r="W223" s="362"/>
      <c r="X223" s="362"/>
      <c r="Y223" s="362"/>
      <c r="Z223" s="362"/>
      <c r="AA223" s="362"/>
      <c r="AB223" s="362"/>
      <c r="AC223" s="362"/>
      <c r="AD223" s="362"/>
      <c r="AE223" s="322" t="s">
        <v>1240</v>
      </c>
      <c r="AF223" s="217" t="s">
        <v>118</v>
      </c>
      <c r="AG223" s="196" t="s">
        <v>223</v>
      </c>
      <c r="AH223" s="302" t="s">
        <v>19</v>
      </c>
      <c r="AI223" s="301" t="s">
        <v>154</v>
      </c>
      <c r="AJ223" s="221"/>
      <c r="AK223" s="221"/>
      <c r="AL223" s="221"/>
      <c r="AM223" s="221"/>
      <c r="AN223" s="221"/>
      <c r="AO223" s="221"/>
      <c r="AP223" s="302" t="s">
        <v>19</v>
      </c>
      <c r="AQ223" s="195">
        <f>SUM(AT223,AW223,AZ223,BC223,BF223,BI223,BL223)</f>
        <v>2507.9726084411514</v>
      </c>
      <c r="AR223" s="197">
        <f>SUM(AT223,AX223,BA223,BD223,BG223,BJ223,BM223)</f>
        <v>0</v>
      </c>
      <c r="AS223" s="195">
        <f>AQ223-AR223</f>
        <v>2507.9726084411514</v>
      </c>
      <c r="AT223" s="315"/>
      <c r="AU223" s="315"/>
      <c r="AV223" s="241"/>
      <c r="AW223" s="198">
        <f>1119.64412017364-AW222</f>
        <v>186.60735336227003</v>
      </c>
      <c r="AX223" s="313"/>
      <c r="AY223" s="199">
        <f>AW223-AX223</f>
        <v>186.60735336227003</v>
      </c>
      <c r="AZ223" s="173">
        <f>13928.1915304731-AZ222</f>
        <v>2321.3652550788811</v>
      </c>
      <c r="BA223" s="313"/>
      <c r="BB223" s="199">
        <f>AZ223-BA223</f>
        <v>2321.3652550788811</v>
      </c>
      <c r="BC223" s="198"/>
      <c r="BD223" s="313"/>
      <c r="BE223" s="199">
        <f>BC223-BD223</f>
        <v>0</v>
      </c>
      <c r="BF223" s="198"/>
      <c r="BG223" s="241"/>
      <c r="BH223" s="199">
        <f>BF223-BG223</f>
        <v>0</v>
      </c>
      <c r="BI223" s="198"/>
      <c r="BJ223" s="241"/>
      <c r="BK223" s="199">
        <f>BI223-BJ223</f>
        <v>0</v>
      </c>
      <c r="BL223" s="313"/>
      <c r="BM223" s="313"/>
      <c r="BN223" s="195">
        <f>BL223-BM223</f>
        <v>0</v>
      </c>
      <c r="BO223" s="251">
        <v>0</v>
      </c>
      <c r="BP223" s="364"/>
      <c r="BQ223" s="364"/>
      <c r="BR223" s="364"/>
      <c r="BS223" s="249" t="str">
        <f>AG223 &amp; BO223</f>
        <v>Прочие собственные средства0</v>
      </c>
      <c r="BT223" s="364"/>
      <c r="BU223" s="364"/>
      <c r="BV223" s="364"/>
      <c r="BW223" s="364"/>
      <c r="BX223" s="364"/>
      <c r="BY223" s="249" t="str">
        <f>AG223&amp;AH223</f>
        <v>Прочие собственные средстванет</v>
      </c>
      <c r="BZ223" s="250"/>
    </row>
    <row r="224" spans="3:78" ht="15" customHeight="1">
      <c r="C224" s="306"/>
      <c r="D224" s="367"/>
      <c r="E224" s="370"/>
      <c r="F224" s="406"/>
      <c r="G224" s="376"/>
      <c r="H224" s="379"/>
      <c r="I224" s="382"/>
      <c r="J224" s="382"/>
      <c r="K224" s="385"/>
      <c r="L224" s="388"/>
      <c r="M224" s="391"/>
      <c r="N224" s="395"/>
      <c r="O224" s="398"/>
      <c r="P224" s="401"/>
      <c r="Q224" s="404"/>
      <c r="R224" s="363"/>
      <c r="S224" s="363"/>
      <c r="T224" s="363"/>
      <c r="U224" s="363"/>
      <c r="V224" s="363"/>
      <c r="W224" s="363"/>
      <c r="X224" s="363"/>
      <c r="Y224" s="363"/>
      <c r="Z224" s="363"/>
      <c r="AA224" s="363"/>
      <c r="AB224" s="363"/>
      <c r="AC224" s="363"/>
      <c r="AD224" s="363"/>
      <c r="AE224" s="279" t="s">
        <v>379</v>
      </c>
      <c r="AF224" s="203"/>
      <c r="AG224" s="223" t="s">
        <v>24</v>
      </c>
      <c r="AH224" s="223"/>
      <c r="AI224" s="223"/>
      <c r="AJ224" s="223"/>
      <c r="AK224" s="223"/>
      <c r="AL224" s="223"/>
      <c r="AM224" s="223"/>
      <c r="AN224" s="223"/>
      <c r="AO224" s="223"/>
      <c r="AP224" s="168"/>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70"/>
      <c r="BO224" s="251"/>
      <c r="BP224" s="364"/>
      <c r="BQ224" s="364"/>
      <c r="BR224" s="364"/>
      <c r="BS224" s="250"/>
      <c r="BT224" s="364"/>
      <c r="BU224" s="364"/>
      <c r="BV224" s="364"/>
      <c r="BW224" s="364"/>
      <c r="BX224" s="364"/>
      <c r="BY224" s="250"/>
    </row>
    <row r="225" spans="3:78" ht="15" customHeight="1" thickBot="1">
      <c r="C225" s="307"/>
      <c r="D225" s="368"/>
      <c r="E225" s="371"/>
      <c r="F225" s="407"/>
      <c r="G225" s="377"/>
      <c r="H225" s="380"/>
      <c r="I225" s="383"/>
      <c r="J225" s="383"/>
      <c r="K225" s="386"/>
      <c r="L225" s="389"/>
      <c r="M225" s="392"/>
      <c r="N225" s="280" t="s">
        <v>380</v>
      </c>
      <c r="O225" s="212"/>
      <c r="P225" s="365" t="s">
        <v>154</v>
      </c>
      <c r="Q225" s="365"/>
      <c r="R225" s="171"/>
      <c r="S225" s="171"/>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7"/>
      <c r="BO225" s="251"/>
      <c r="BP225" s="250"/>
      <c r="BQ225" s="250"/>
      <c r="BR225" s="250"/>
      <c r="BS225" s="250"/>
      <c r="BT225" s="250"/>
      <c r="BU225" s="250"/>
      <c r="BY225" s="250"/>
    </row>
    <row r="226" spans="3:78" ht="11.25" customHeight="1">
      <c r="C226" s="97" t="s">
        <v>1240</v>
      </c>
      <c r="D226" s="366" t="s">
        <v>1276</v>
      </c>
      <c r="E226" s="369" t="s">
        <v>198</v>
      </c>
      <c r="F226" s="405" t="s">
        <v>207</v>
      </c>
      <c r="G226" s="375" t="s">
        <v>1506</v>
      </c>
      <c r="H226" s="378" t="s">
        <v>715</v>
      </c>
      <c r="I226" s="381" t="s">
        <v>715</v>
      </c>
      <c r="J226" s="381" t="s">
        <v>716</v>
      </c>
      <c r="K226" s="384">
        <v>2</v>
      </c>
      <c r="L226" s="387" t="s">
        <v>4</v>
      </c>
      <c r="M226" s="390">
        <v>0</v>
      </c>
      <c r="N226" s="163"/>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c r="AX226" s="161"/>
      <c r="AY226" s="161"/>
      <c r="AZ226" s="161"/>
      <c r="BA226" s="161"/>
      <c r="BB226" s="161"/>
      <c r="BC226" s="161"/>
      <c r="BD226" s="161"/>
      <c r="BE226" s="161"/>
      <c r="BF226" s="161"/>
      <c r="BG226" s="161"/>
      <c r="BH226" s="161"/>
      <c r="BI226" s="161"/>
      <c r="BJ226" s="161"/>
      <c r="BK226" s="161"/>
      <c r="BL226" s="161"/>
      <c r="BM226" s="161"/>
      <c r="BN226" s="162"/>
      <c r="BO226" s="251"/>
      <c r="BP226" s="250"/>
      <c r="BQ226" s="250"/>
      <c r="BR226" s="250"/>
      <c r="BS226" s="250"/>
      <c r="BT226" s="250"/>
      <c r="BU226" s="250"/>
      <c r="BY226" s="250"/>
    </row>
    <row r="227" spans="3:78" ht="11.25" customHeight="1">
      <c r="C227" s="306"/>
      <c r="D227" s="367"/>
      <c r="E227" s="370"/>
      <c r="F227" s="406"/>
      <c r="G227" s="376"/>
      <c r="H227" s="379"/>
      <c r="I227" s="382"/>
      <c r="J227" s="382"/>
      <c r="K227" s="385"/>
      <c r="L227" s="388"/>
      <c r="M227" s="391"/>
      <c r="N227" s="393"/>
      <c r="O227" s="396">
        <v>1</v>
      </c>
      <c r="P227" s="399" t="s">
        <v>1297</v>
      </c>
      <c r="Q227" s="402"/>
      <c r="R227" s="361" t="s">
        <v>154</v>
      </c>
      <c r="S227" s="361" t="s">
        <v>154</v>
      </c>
      <c r="T227" s="361" t="s">
        <v>154</v>
      </c>
      <c r="U227" s="361" t="s">
        <v>154</v>
      </c>
      <c r="V227" s="361" t="s">
        <v>154</v>
      </c>
      <c r="W227" s="361" t="s">
        <v>154</v>
      </c>
      <c r="X227" s="361" t="s">
        <v>154</v>
      </c>
      <c r="Y227" s="361" t="s">
        <v>154</v>
      </c>
      <c r="Z227" s="361" t="s">
        <v>154</v>
      </c>
      <c r="AA227" s="361" t="s">
        <v>154</v>
      </c>
      <c r="AB227" s="361" t="s">
        <v>154</v>
      </c>
      <c r="AC227" s="361" t="s">
        <v>154</v>
      </c>
      <c r="AD227" s="361" t="s">
        <v>154</v>
      </c>
      <c r="AE227" s="209"/>
      <c r="AF227" s="220">
        <v>0</v>
      </c>
      <c r="AG227" s="219" t="s">
        <v>308</v>
      </c>
      <c r="AH227" s="219"/>
      <c r="AI227" s="219"/>
      <c r="AJ227" s="219"/>
      <c r="AK227" s="219"/>
      <c r="AL227" s="219"/>
      <c r="AM227" s="219"/>
      <c r="AN227" s="219"/>
      <c r="AO227" s="219"/>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5"/>
      <c r="BO227" s="251"/>
      <c r="BP227" s="364" t="s">
        <v>1298</v>
      </c>
      <c r="BQ227" s="364" t="s">
        <v>1298</v>
      </c>
      <c r="BR227" s="364" t="s">
        <v>1298</v>
      </c>
      <c r="BS227" s="250"/>
      <c r="BT227" s="364" t="s">
        <v>1298</v>
      </c>
      <c r="BU227" s="364" t="s">
        <v>1298</v>
      </c>
      <c r="BV227" s="364" t="s">
        <v>1298</v>
      </c>
      <c r="BW227" s="364" t="s">
        <v>1298</v>
      </c>
      <c r="BX227" s="364" t="s">
        <v>1298</v>
      </c>
      <c r="BY227" s="250"/>
    </row>
    <row r="228" spans="3:78" ht="14.25">
      <c r="C228" s="306"/>
      <c r="D228" s="367"/>
      <c r="E228" s="370"/>
      <c r="F228" s="406"/>
      <c r="G228" s="376"/>
      <c r="H228" s="379"/>
      <c r="I228" s="382"/>
      <c r="J228" s="382"/>
      <c r="K228" s="385"/>
      <c r="L228" s="388"/>
      <c r="M228" s="391"/>
      <c r="N228" s="394"/>
      <c r="O228" s="397"/>
      <c r="P228" s="400"/>
      <c r="Q228" s="403"/>
      <c r="R228" s="362"/>
      <c r="S228" s="362"/>
      <c r="T228" s="362"/>
      <c r="U228" s="362"/>
      <c r="V228" s="362"/>
      <c r="W228" s="362"/>
      <c r="X228" s="362"/>
      <c r="Y228" s="362"/>
      <c r="Z228" s="362"/>
      <c r="AA228" s="362"/>
      <c r="AB228" s="362"/>
      <c r="AC228" s="362"/>
      <c r="AD228" s="362"/>
      <c r="AE228" s="193"/>
      <c r="AF228" s="217" t="s">
        <v>268</v>
      </c>
      <c r="AG228" s="158" t="s">
        <v>327</v>
      </c>
      <c r="AH228" s="300" t="s">
        <v>19</v>
      </c>
      <c r="AI228" s="301" t="s">
        <v>154</v>
      </c>
      <c r="AJ228" s="221"/>
      <c r="AK228" s="221"/>
      <c r="AL228" s="221"/>
      <c r="AM228" s="221"/>
      <c r="AN228" s="221"/>
      <c r="AO228" s="221"/>
      <c r="AP228" s="302" t="s">
        <v>19</v>
      </c>
      <c r="AQ228" s="195">
        <f>SUM(AT228,AW228,AZ228,BC228,BF228,BI228,BL228)</f>
        <v>36112.964251486985</v>
      </c>
      <c r="AR228" s="197">
        <f>SUM(AT228,AX228,BA228,BD228,BG228,BJ228,BM228)</f>
        <v>0</v>
      </c>
      <c r="AS228" s="195">
        <f>AQ228-AR228</f>
        <v>36112.964251486985</v>
      </c>
      <c r="AT228" s="312"/>
      <c r="AU228" s="312"/>
      <c r="AV228" s="244"/>
      <c r="AW228" s="159">
        <v>1614.8972662875001</v>
      </c>
      <c r="AX228" s="312"/>
      <c r="AY228" s="194">
        <f>AW228-AX228</f>
        <v>1614.8972662875001</v>
      </c>
      <c r="AZ228" s="160">
        <v>34498.066985199483</v>
      </c>
      <c r="BA228" s="312"/>
      <c r="BB228" s="194">
        <f>AZ228-BA228</f>
        <v>34498.066985199483</v>
      </c>
      <c r="BC228" s="159"/>
      <c r="BD228" s="312"/>
      <c r="BE228" s="194">
        <f>BC228-BD228</f>
        <v>0</v>
      </c>
      <c r="BF228" s="159"/>
      <c r="BG228" s="244"/>
      <c r="BH228" s="194">
        <f>BF228-BG228</f>
        <v>0</v>
      </c>
      <c r="BI228" s="159"/>
      <c r="BJ228" s="244"/>
      <c r="BK228" s="194">
        <f>BI228-BJ228</f>
        <v>0</v>
      </c>
      <c r="BL228" s="312"/>
      <c r="BM228" s="312"/>
      <c r="BN228" s="195">
        <f>BL228-BM228</f>
        <v>0</v>
      </c>
      <c r="BO228" s="251">
        <v>0</v>
      </c>
      <c r="BP228" s="364"/>
      <c r="BQ228" s="364"/>
      <c r="BR228" s="364"/>
      <c r="BS228" s="249" t="str">
        <f>AG228 &amp; BO228</f>
        <v>За счет платы за технологическое присоединение0</v>
      </c>
      <c r="BT228" s="364"/>
      <c r="BU228" s="364"/>
      <c r="BV228" s="364"/>
      <c r="BW228" s="364"/>
      <c r="BX228" s="364"/>
      <c r="BY228" s="249" t="str">
        <f>AG228&amp;AH228</f>
        <v>За счет платы за технологическое присоединениенет</v>
      </c>
      <c r="BZ228" s="250"/>
    </row>
    <row r="229" spans="3:78" ht="14.25">
      <c r="C229" s="97"/>
      <c r="D229" s="367"/>
      <c r="E229" s="370"/>
      <c r="F229" s="406"/>
      <c r="G229" s="376"/>
      <c r="H229" s="379"/>
      <c r="I229" s="382"/>
      <c r="J229" s="382"/>
      <c r="K229" s="385"/>
      <c r="L229" s="388"/>
      <c r="M229" s="391"/>
      <c r="N229" s="394"/>
      <c r="O229" s="397"/>
      <c r="P229" s="400"/>
      <c r="Q229" s="403"/>
      <c r="R229" s="362"/>
      <c r="S229" s="362"/>
      <c r="T229" s="362"/>
      <c r="U229" s="362"/>
      <c r="V229" s="362"/>
      <c r="W229" s="362"/>
      <c r="X229" s="362"/>
      <c r="Y229" s="362"/>
      <c r="Z229" s="362"/>
      <c r="AA229" s="362"/>
      <c r="AB229" s="362"/>
      <c r="AC229" s="362"/>
      <c r="AD229" s="362"/>
      <c r="AE229" s="322" t="s">
        <v>1240</v>
      </c>
      <c r="AF229" s="217" t="s">
        <v>118</v>
      </c>
      <c r="AG229" s="196" t="s">
        <v>223</v>
      </c>
      <c r="AH229" s="302" t="s">
        <v>19</v>
      </c>
      <c r="AI229" s="301" t="s">
        <v>154</v>
      </c>
      <c r="AJ229" s="221"/>
      <c r="AK229" s="221"/>
      <c r="AL229" s="221"/>
      <c r="AM229" s="221"/>
      <c r="AN229" s="221"/>
      <c r="AO229" s="221"/>
      <c r="AP229" s="302" t="s">
        <v>19</v>
      </c>
      <c r="AQ229" s="195">
        <f>SUM(AT229,AW229,AZ229,BC229,BF229,BI229,BL229)</f>
        <v>7222.5928502974166</v>
      </c>
      <c r="AR229" s="197">
        <f>SUM(AT229,AX229,BA229,BD229,BG229,BJ229,BM229)</f>
        <v>0</v>
      </c>
      <c r="AS229" s="195">
        <f>AQ229-AR229</f>
        <v>7222.5928502974166</v>
      </c>
      <c r="AT229" s="315"/>
      <c r="AU229" s="315"/>
      <c r="AV229" s="241"/>
      <c r="AW229" s="198">
        <f>1937.876719545-AW228</f>
        <v>322.97945325749993</v>
      </c>
      <c r="AX229" s="313"/>
      <c r="AY229" s="199">
        <f>AW229-AX229</f>
        <v>322.97945325749993</v>
      </c>
      <c r="AZ229" s="173">
        <f>41397.6803822393-AZ228</f>
        <v>6899.6133970399169</v>
      </c>
      <c r="BA229" s="313"/>
      <c r="BB229" s="199">
        <f>AZ229-BA229</f>
        <v>6899.6133970399169</v>
      </c>
      <c r="BC229" s="198"/>
      <c r="BD229" s="313"/>
      <c r="BE229" s="199">
        <f>BC229-BD229</f>
        <v>0</v>
      </c>
      <c r="BF229" s="198"/>
      <c r="BG229" s="241"/>
      <c r="BH229" s="199">
        <f>BF229-BG229</f>
        <v>0</v>
      </c>
      <c r="BI229" s="198"/>
      <c r="BJ229" s="241"/>
      <c r="BK229" s="199">
        <f>BI229-BJ229</f>
        <v>0</v>
      </c>
      <c r="BL229" s="313"/>
      <c r="BM229" s="313"/>
      <c r="BN229" s="195">
        <f>BL229-BM229</f>
        <v>0</v>
      </c>
      <c r="BO229" s="251">
        <v>0</v>
      </c>
      <c r="BP229" s="364"/>
      <c r="BQ229" s="364"/>
      <c r="BR229" s="364"/>
      <c r="BS229" s="249" t="str">
        <f>AG229 &amp; BO229</f>
        <v>Прочие собственные средства0</v>
      </c>
      <c r="BT229" s="364"/>
      <c r="BU229" s="364"/>
      <c r="BV229" s="364"/>
      <c r="BW229" s="364"/>
      <c r="BX229" s="364"/>
      <c r="BY229" s="249" t="str">
        <f>AG229&amp;AH229</f>
        <v>Прочие собственные средстванет</v>
      </c>
      <c r="BZ229" s="250"/>
    </row>
    <row r="230" spans="3:78" ht="15" customHeight="1">
      <c r="C230" s="306"/>
      <c r="D230" s="367"/>
      <c r="E230" s="370"/>
      <c r="F230" s="406"/>
      <c r="G230" s="376"/>
      <c r="H230" s="379"/>
      <c r="I230" s="382"/>
      <c r="J230" s="382"/>
      <c r="K230" s="385"/>
      <c r="L230" s="388"/>
      <c r="M230" s="391"/>
      <c r="N230" s="395"/>
      <c r="O230" s="398"/>
      <c r="P230" s="401"/>
      <c r="Q230" s="404"/>
      <c r="R230" s="363"/>
      <c r="S230" s="363"/>
      <c r="T230" s="363"/>
      <c r="U230" s="363"/>
      <c r="V230" s="363"/>
      <c r="W230" s="363"/>
      <c r="X230" s="363"/>
      <c r="Y230" s="363"/>
      <c r="Z230" s="363"/>
      <c r="AA230" s="363"/>
      <c r="AB230" s="363"/>
      <c r="AC230" s="363"/>
      <c r="AD230" s="363"/>
      <c r="AE230" s="279" t="s">
        <v>379</v>
      </c>
      <c r="AF230" s="203"/>
      <c r="AG230" s="223" t="s">
        <v>24</v>
      </c>
      <c r="AH230" s="223"/>
      <c r="AI230" s="223"/>
      <c r="AJ230" s="223"/>
      <c r="AK230" s="223"/>
      <c r="AL230" s="223"/>
      <c r="AM230" s="223"/>
      <c r="AN230" s="223"/>
      <c r="AO230" s="223"/>
      <c r="AP230" s="168"/>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70"/>
      <c r="BO230" s="251"/>
      <c r="BP230" s="364"/>
      <c r="BQ230" s="364"/>
      <c r="BR230" s="364"/>
      <c r="BS230" s="250"/>
      <c r="BT230" s="364"/>
      <c r="BU230" s="364"/>
      <c r="BV230" s="364"/>
      <c r="BW230" s="364"/>
      <c r="BX230" s="364"/>
      <c r="BY230" s="250"/>
    </row>
    <row r="231" spans="3:78" ht="15" customHeight="1" thickBot="1">
      <c r="C231" s="307"/>
      <c r="D231" s="368"/>
      <c r="E231" s="371"/>
      <c r="F231" s="407"/>
      <c r="G231" s="377"/>
      <c r="H231" s="380"/>
      <c r="I231" s="383"/>
      <c r="J231" s="383"/>
      <c r="K231" s="386"/>
      <c r="L231" s="389"/>
      <c r="M231" s="392"/>
      <c r="N231" s="280" t="s">
        <v>380</v>
      </c>
      <c r="O231" s="212"/>
      <c r="P231" s="365" t="s">
        <v>154</v>
      </c>
      <c r="Q231" s="365"/>
      <c r="R231" s="171"/>
      <c r="S231" s="171"/>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7"/>
      <c r="BO231" s="251"/>
      <c r="BP231" s="250"/>
      <c r="BQ231" s="250"/>
      <c r="BR231" s="250"/>
      <c r="BS231" s="250"/>
      <c r="BT231" s="250"/>
      <c r="BU231" s="250"/>
      <c r="BY231" s="250"/>
    </row>
    <row r="232" spans="3:78" ht="11.25" customHeight="1">
      <c r="C232" s="97" t="s">
        <v>1240</v>
      </c>
      <c r="D232" s="366" t="s">
        <v>1277</v>
      </c>
      <c r="E232" s="369" t="s">
        <v>198</v>
      </c>
      <c r="F232" s="405" t="s">
        <v>207</v>
      </c>
      <c r="G232" s="375" t="s">
        <v>1307</v>
      </c>
      <c r="H232" s="378" t="s">
        <v>715</v>
      </c>
      <c r="I232" s="381" t="s">
        <v>715</v>
      </c>
      <c r="J232" s="381" t="s">
        <v>716</v>
      </c>
      <c r="K232" s="384">
        <v>2</v>
      </c>
      <c r="L232" s="387" t="s">
        <v>5</v>
      </c>
      <c r="M232" s="390">
        <v>0</v>
      </c>
      <c r="N232" s="163"/>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c r="AX232" s="161"/>
      <c r="AY232" s="161"/>
      <c r="AZ232" s="161"/>
      <c r="BA232" s="161"/>
      <c r="BB232" s="161"/>
      <c r="BC232" s="161"/>
      <c r="BD232" s="161"/>
      <c r="BE232" s="161"/>
      <c r="BF232" s="161"/>
      <c r="BG232" s="161"/>
      <c r="BH232" s="161"/>
      <c r="BI232" s="161"/>
      <c r="BJ232" s="161"/>
      <c r="BK232" s="161"/>
      <c r="BL232" s="161"/>
      <c r="BM232" s="161"/>
      <c r="BN232" s="162"/>
      <c r="BO232" s="251"/>
      <c r="BP232" s="250"/>
      <c r="BQ232" s="250"/>
      <c r="BR232" s="250"/>
      <c r="BS232" s="250"/>
      <c r="BT232" s="250"/>
      <c r="BU232" s="250"/>
      <c r="BY232" s="250"/>
    </row>
    <row r="233" spans="3:78" ht="11.25" customHeight="1">
      <c r="C233" s="306"/>
      <c r="D233" s="367"/>
      <c r="E233" s="370"/>
      <c r="F233" s="406"/>
      <c r="G233" s="376"/>
      <c r="H233" s="379"/>
      <c r="I233" s="382"/>
      <c r="J233" s="382"/>
      <c r="K233" s="385"/>
      <c r="L233" s="388"/>
      <c r="M233" s="391"/>
      <c r="N233" s="393"/>
      <c r="O233" s="396">
        <v>1</v>
      </c>
      <c r="P233" s="399" t="s">
        <v>1297</v>
      </c>
      <c r="Q233" s="402"/>
      <c r="R233" s="361" t="s">
        <v>154</v>
      </c>
      <c r="S233" s="361" t="s">
        <v>154</v>
      </c>
      <c r="T233" s="361" t="s">
        <v>154</v>
      </c>
      <c r="U233" s="361" t="s">
        <v>154</v>
      </c>
      <c r="V233" s="361" t="s">
        <v>154</v>
      </c>
      <c r="W233" s="361" t="s">
        <v>154</v>
      </c>
      <c r="X233" s="361" t="s">
        <v>154</v>
      </c>
      <c r="Y233" s="361" t="s">
        <v>154</v>
      </c>
      <c r="Z233" s="361" t="s">
        <v>154</v>
      </c>
      <c r="AA233" s="361" t="s">
        <v>154</v>
      </c>
      <c r="AB233" s="361" t="s">
        <v>154</v>
      </c>
      <c r="AC233" s="361" t="s">
        <v>154</v>
      </c>
      <c r="AD233" s="361" t="s">
        <v>154</v>
      </c>
      <c r="AE233" s="209"/>
      <c r="AF233" s="220">
        <v>0</v>
      </c>
      <c r="AG233" s="219" t="s">
        <v>308</v>
      </c>
      <c r="AH233" s="219"/>
      <c r="AI233" s="219"/>
      <c r="AJ233" s="219"/>
      <c r="AK233" s="219"/>
      <c r="AL233" s="219"/>
      <c r="AM233" s="219"/>
      <c r="AN233" s="219"/>
      <c r="AO233" s="219"/>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c r="BN233" s="165"/>
      <c r="BO233" s="251"/>
      <c r="BP233" s="364" t="s">
        <v>1298</v>
      </c>
      <c r="BQ233" s="364" t="s">
        <v>1298</v>
      </c>
      <c r="BR233" s="364" t="s">
        <v>1298</v>
      </c>
      <c r="BS233" s="250"/>
      <c r="BT233" s="364" t="s">
        <v>1298</v>
      </c>
      <c r="BU233" s="364" t="s">
        <v>1298</v>
      </c>
      <c r="BV233" s="364" t="s">
        <v>1298</v>
      </c>
      <c r="BW233" s="364" t="s">
        <v>1298</v>
      </c>
      <c r="BX233" s="364" t="s">
        <v>1298</v>
      </c>
      <c r="BY233" s="250"/>
    </row>
    <row r="234" spans="3:78" ht="14.25">
      <c r="C234" s="306"/>
      <c r="D234" s="367"/>
      <c r="E234" s="370"/>
      <c r="F234" s="406"/>
      <c r="G234" s="376"/>
      <c r="H234" s="379"/>
      <c r="I234" s="382"/>
      <c r="J234" s="382"/>
      <c r="K234" s="385"/>
      <c r="L234" s="388"/>
      <c r="M234" s="391"/>
      <c r="N234" s="394"/>
      <c r="O234" s="397"/>
      <c r="P234" s="400"/>
      <c r="Q234" s="403"/>
      <c r="R234" s="362"/>
      <c r="S234" s="362"/>
      <c r="T234" s="362"/>
      <c r="U234" s="362"/>
      <c r="V234" s="362"/>
      <c r="W234" s="362"/>
      <c r="X234" s="362"/>
      <c r="Y234" s="362"/>
      <c r="Z234" s="362"/>
      <c r="AA234" s="362"/>
      <c r="AB234" s="362"/>
      <c r="AC234" s="362"/>
      <c r="AD234" s="362"/>
      <c r="AE234" s="193"/>
      <c r="AF234" s="217" t="s">
        <v>268</v>
      </c>
      <c r="AG234" s="158" t="s">
        <v>327</v>
      </c>
      <c r="AH234" s="300" t="s">
        <v>19</v>
      </c>
      <c r="AI234" s="301" t="s">
        <v>154</v>
      </c>
      <c r="AJ234" s="221"/>
      <c r="AK234" s="221"/>
      <c r="AL234" s="221"/>
      <c r="AM234" s="221"/>
      <c r="AN234" s="221"/>
      <c r="AO234" s="221"/>
      <c r="AP234" s="302" t="s">
        <v>19</v>
      </c>
      <c r="AQ234" s="195">
        <f>SUM(AT234,AW234,AZ234,BC234,BF234,BI234,BL234)</f>
        <v>163580.36127098353</v>
      </c>
      <c r="AR234" s="197">
        <f>SUM(AT234,AX234,BA234,BD234,BG234,BJ234,BM234)</f>
        <v>0</v>
      </c>
      <c r="AS234" s="195">
        <f>AQ234-AR234</f>
        <v>163580.36127098353</v>
      </c>
      <c r="AT234" s="312"/>
      <c r="AU234" s="312"/>
      <c r="AV234" s="244"/>
      <c r="AW234" s="159"/>
      <c r="AX234" s="312"/>
      <c r="AY234" s="194">
        <f>AW234-AX234</f>
        <v>0</v>
      </c>
      <c r="AZ234" s="160">
        <v>4075.7596498702524</v>
      </c>
      <c r="BA234" s="312"/>
      <c r="BB234" s="194">
        <f>AZ234-BA234</f>
        <v>4075.7596498702524</v>
      </c>
      <c r="BC234" s="159">
        <v>159504.60162111328</v>
      </c>
      <c r="BD234" s="312"/>
      <c r="BE234" s="194">
        <f>BC234-BD234</f>
        <v>159504.60162111328</v>
      </c>
      <c r="BF234" s="159"/>
      <c r="BG234" s="244"/>
      <c r="BH234" s="194">
        <f>BF234-BG234</f>
        <v>0</v>
      </c>
      <c r="BI234" s="159"/>
      <c r="BJ234" s="244"/>
      <c r="BK234" s="194">
        <f>BI234-BJ234</f>
        <v>0</v>
      </c>
      <c r="BL234" s="312"/>
      <c r="BM234" s="312"/>
      <c r="BN234" s="195">
        <f>BL234-BM234</f>
        <v>0</v>
      </c>
      <c r="BO234" s="251">
        <v>0</v>
      </c>
      <c r="BP234" s="364"/>
      <c r="BQ234" s="364"/>
      <c r="BR234" s="364"/>
      <c r="BS234" s="249" t="str">
        <f>AG234 &amp; BO234</f>
        <v>За счет платы за технологическое присоединение0</v>
      </c>
      <c r="BT234" s="364"/>
      <c r="BU234" s="364"/>
      <c r="BV234" s="364"/>
      <c r="BW234" s="364"/>
      <c r="BX234" s="364"/>
      <c r="BY234" s="249" t="str">
        <f>AG234&amp;AH234</f>
        <v>За счет платы за технологическое присоединениенет</v>
      </c>
      <c r="BZ234" s="250"/>
    </row>
    <row r="235" spans="3:78" ht="14.25">
      <c r="C235" s="97"/>
      <c r="D235" s="367"/>
      <c r="E235" s="370"/>
      <c r="F235" s="406"/>
      <c r="G235" s="376"/>
      <c r="H235" s="379"/>
      <c r="I235" s="382"/>
      <c r="J235" s="382"/>
      <c r="K235" s="385"/>
      <c r="L235" s="388"/>
      <c r="M235" s="391"/>
      <c r="N235" s="394"/>
      <c r="O235" s="397"/>
      <c r="P235" s="400"/>
      <c r="Q235" s="403"/>
      <c r="R235" s="362"/>
      <c r="S235" s="362"/>
      <c r="T235" s="362"/>
      <c r="U235" s="362"/>
      <c r="V235" s="362"/>
      <c r="W235" s="362"/>
      <c r="X235" s="362"/>
      <c r="Y235" s="362"/>
      <c r="Z235" s="362"/>
      <c r="AA235" s="362"/>
      <c r="AB235" s="362"/>
      <c r="AC235" s="362"/>
      <c r="AD235" s="362"/>
      <c r="AE235" s="322" t="s">
        <v>1240</v>
      </c>
      <c r="AF235" s="217" t="s">
        <v>118</v>
      </c>
      <c r="AG235" s="196" t="s">
        <v>223</v>
      </c>
      <c r="AH235" s="302" t="s">
        <v>19</v>
      </c>
      <c r="AI235" s="301" t="s">
        <v>154</v>
      </c>
      <c r="AJ235" s="221"/>
      <c r="AK235" s="221"/>
      <c r="AL235" s="221"/>
      <c r="AM235" s="221"/>
      <c r="AN235" s="221"/>
      <c r="AO235" s="221"/>
      <c r="AP235" s="302" t="s">
        <v>19</v>
      </c>
      <c r="AQ235" s="195">
        <f>SUM(AT235,AW235,AZ235,BC235,BF235,BI235,BL235)</f>
        <v>32716.072254196755</v>
      </c>
      <c r="AR235" s="197">
        <f>SUM(AT235,AX235,BA235,BD235,BG235,BJ235,BM235)</f>
        <v>0</v>
      </c>
      <c r="AS235" s="195">
        <f>AQ235-AR235</f>
        <v>32716.072254196755</v>
      </c>
      <c r="AT235" s="315"/>
      <c r="AU235" s="315"/>
      <c r="AV235" s="241"/>
      <c r="AW235" s="198"/>
      <c r="AX235" s="313"/>
      <c r="AY235" s="199">
        <f>AW235-AX235</f>
        <v>0</v>
      </c>
      <c r="AZ235" s="198">
        <f>4890.9115798443-AZ234</f>
        <v>815.15192997404756</v>
      </c>
      <c r="BA235" s="313"/>
      <c r="BB235" s="199">
        <f>AZ235-BA235</f>
        <v>815.15192997404756</v>
      </c>
      <c r="BC235" s="173">
        <f>191405.521945336-BC234</f>
        <v>31900.920324222709</v>
      </c>
      <c r="BD235" s="313"/>
      <c r="BE235" s="199">
        <f>BC235-BD235</f>
        <v>31900.920324222709</v>
      </c>
      <c r="BF235" s="198"/>
      <c r="BG235" s="241"/>
      <c r="BH235" s="199">
        <f>BF235-BG235</f>
        <v>0</v>
      </c>
      <c r="BI235" s="198"/>
      <c r="BJ235" s="241"/>
      <c r="BK235" s="199">
        <f>BI235-BJ235</f>
        <v>0</v>
      </c>
      <c r="BL235" s="313"/>
      <c r="BM235" s="313"/>
      <c r="BN235" s="195">
        <f>BL235-BM235</f>
        <v>0</v>
      </c>
      <c r="BO235" s="251">
        <v>0</v>
      </c>
      <c r="BP235" s="364"/>
      <c r="BQ235" s="364"/>
      <c r="BR235" s="364"/>
      <c r="BS235" s="249" t="str">
        <f>AG235 &amp; BO235</f>
        <v>Прочие собственные средства0</v>
      </c>
      <c r="BT235" s="364"/>
      <c r="BU235" s="364"/>
      <c r="BV235" s="364"/>
      <c r="BW235" s="364"/>
      <c r="BX235" s="364"/>
      <c r="BY235" s="249" t="str">
        <f>AG235&amp;AH235</f>
        <v>Прочие собственные средстванет</v>
      </c>
      <c r="BZ235" s="250"/>
    </row>
    <row r="236" spans="3:78" ht="15" customHeight="1">
      <c r="C236" s="306"/>
      <c r="D236" s="367"/>
      <c r="E236" s="370"/>
      <c r="F236" s="406"/>
      <c r="G236" s="376"/>
      <c r="H236" s="379"/>
      <c r="I236" s="382"/>
      <c r="J236" s="382"/>
      <c r="K236" s="385"/>
      <c r="L236" s="388"/>
      <c r="M236" s="391"/>
      <c r="N236" s="395"/>
      <c r="O236" s="398"/>
      <c r="P236" s="401"/>
      <c r="Q236" s="404"/>
      <c r="R236" s="363"/>
      <c r="S236" s="363"/>
      <c r="T236" s="363"/>
      <c r="U236" s="363"/>
      <c r="V236" s="363"/>
      <c r="W236" s="363"/>
      <c r="X236" s="363"/>
      <c r="Y236" s="363"/>
      <c r="Z236" s="363"/>
      <c r="AA236" s="363"/>
      <c r="AB236" s="363"/>
      <c r="AC236" s="363"/>
      <c r="AD236" s="363"/>
      <c r="AE236" s="279" t="s">
        <v>379</v>
      </c>
      <c r="AF236" s="203"/>
      <c r="AG236" s="223" t="s">
        <v>24</v>
      </c>
      <c r="AH236" s="223"/>
      <c r="AI236" s="223"/>
      <c r="AJ236" s="223"/>
      <c r="AK236" s="223"/>
      <c r="AL236" s="223"/>
      <c r="AM236" s="223"/>
      <c r="AN236" s="223"/>
      <c r="AO236" s="223"/>
      <c r="AP236" s="168"/>
      <c r="AQ236" s="169"/>
      <c r="AR236" s="169"/>
      <c r="AS236" s="169"/>
      <c r="AT236" s="169"/>
      <c r="AU236" s="169"/>
      <c r="AV236" s="169"/>
      <c r="AW236" s="169"/>
      <c r="AX236" s="169"/>
      <c r="AY236" s="169"/>
      <c r="AZ236" s="169"/>
      <c r="BA236" s="169"/>
      <c r="BB236" s="169"/>
      <c r="BC236" s="169"/>
      <c r="BD236" s="169"/>
      <c r="BE236" s="169"/>
      <c r="BF236" s="169"/>
      <c r="BG236" s="169"/>
      <c r="BH236" s="169"/>
      <c r="BI236" s="169"/>
      <c r="BJ236" s="169"/>
      <c r="BK236" s="169"/>
      <c r="BL236" s="169"/>
      <c r="BM236" s="169"/>
      <c r="BN236" s="170"/>
      <c r="BO236" s="251"/>
      <c r="BP236" s="364"/>
      <c r="BQ236" s="364"/>
      <c r="BR236" s="364"/>
      <c r="BS236" s="250"/>
      <c r="BT236" s="364"/>
      <c r="BU236" s="364"/>
      <c r="BV236" s="364"/>
      <c r="BW236" s="364"/>
      <c r="BX236" s="364"/>
      <c r="BY236" s="250"/>
    </row>
    <row r="237" spans="3:78" ht="15" customHeight="1" thickBot="1">
      <c r="C237" s="307"/>
      <c r="D237" s="368"/>
      <c r="E237" s="371"/>
      <c r="F237" s="407"/>
      <c r="G237" s="377"/>
      <c r="H237" s="380"/>
      <c r="I237" s="383"/>
      <c r="J237" s="383"/>
      <c r="K237" s="386"/>
      <c r="L237" s="389"/>
      <c r="M237" s="392"/>
      <c r="N237" s="280" t="s">
        <v>380</v>
      </c>
      <c r="O237" s="212"/>
      <c r="P237" s="365" t="s">
        <v>154</v>
      </c>
      <c r="Q237" s="365"/>
      <c r="R237" s="171"/>
      <c r="S237" s="171"/>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7"/>
      <c r="BO237" s="251"/>
      <c r="BP237" s="250"/>
      <c r="BQ237" s="250"/>
      <c r="BR237" s="250"/>
      <c r="BS237" s="250"/>
      <c r="BT237" s="250"/>
      <c r="BU237" s="250"/>
      <c r="BY237" s="250"/>
    </row>
    <row r="238" spans="3:78" ht="11.25" customHeight="1">
      <c r="C238" s="97" t="s">
        <v>1240</v>
      </c>
      <c r="D238" s="366" t="s">
        <v>1278</v>
      </c>
      <c r="E238" s="369" t="s">
        <v>198</v>
      </c>
      <c r="F238" s="405" t="s">
        <v>207</v>
      </c>
      <c r="G238" s="375" t="s">
        <v>1308</v>
      </c>
      <c r="H238" s="378" t="s">
        <v>715</v>
      </c>
      <c r="I238" s="381" t="s">
        <v>715</v>
      </c>
      <c r="J238" s="381" t="s">
        <v>716</v>
      </c>
      <c r="K238" s="384">
        <v>2</v>
      </c>
      <c r="L238" s="387" t="s">
        <v>5</v>
      </c>
      <c r="M238" s="390">
        <v>0</v>
      </c>
      <c r="N238" s="163"/>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c r="AX238" s="161"/>
      <c r="AY238" s="161"/>
      <c r="AZ238" s="161"/>
      <c r="BA238" s="161"/>
      <c r="BB238" s="161"/>
      <c r="BC238" s="161"/>
      <c r="BD238" s="161"/>
      <c r="BE238" s="161"/>
      <c r="BF238" s="161"/>
      <c r="BG238" s="161"/>
      <c r="BH238" s="161"/>
      <c r="BI238" s="161"/>
      <c r="BJ238" s="161"/>
      <c r="BK238" s="161"/>
      <c r="BL238" s="161"/>
      <c r="BM238" s="161"/>
      <c r="BN238" s="162"/>
      <c r="BO238" s="251"/>
      <c r="BP238" s="250"/>
      <c r="BQ238" s="250"/>
      <c r="BR238" s="250"/>
      <c r="BS238" s="250"/>
      <c r="BT238" s="250"/>
      <c r="BU238" s="250"/>
      <c r="BY238" s="250"/>
    </row>
    <row r="239" spans="3:78" ht="11.25" customHeight="1">
      <c r="C239" s="306"/>
      <c r="D239" s="367"/>
      <c r="E239" s="370"/>
      <c r="F239" s="406"/>
      <c r="G239" s="376"/>
      <c r="H239" s="379"/>
      <c r="I239" s="382"/>
      <c r="J239" s="382"/>
      <c r="K239" s="385"/>
      <c r="L239" s="388"/>
      <c r="M239" s="391"/>
      <c r="N239" s="393"/>
      <c r="O239" s="396">
        <v>1</v>
      </c>
      <c r="P239" s="399" t="s">
        <v>1297</v>
      </c>
      <c r="Q239" s="402"/>
      <c r="R239" s="361" t="s">
        <v>154</v>
      </c>
      <c r="S239" s="361" t="s">
        <v>154</v>
      </c>
      <c r="T239" s="361" t="s">
        <v>154</v>
      </c>
      <c r="U239" s="361" t="s">
        <v>154</v>
      </c>
      <c r="V239" s="361" t="s">
        <v>154</v>
      </c>
      <c r="W239" s="361" t="s">
        <v>154</v>
      </c>
      <c r="X239" s="361" t="s">
        <v>154</v>
      </c>
      <c r="Y239" s="361" t="s">
        <v>154</v>
      </c>
      <c r="Z239" s="361" t="s">
        <v>154</v>
      </c>
      <c r="AA239" s="361" t="s">
        <v>154</v>
      </c>
      <c r="AB239" s="361" t="s">
        <v>154</v>
      </c>
      <c r="AC239" s="361" t="s">
        <v>154</v>
      </c>
      <c r="AD239" s="361" t="s">
        <v>154</v>
      </c>
      <c r="AE239" s="209"/>
      <c r="AF239" s="220">
        <v>0</v>
      </c>
      <c r="AG239" s="219" t="s">
        <v>308</v>
      </c>
      <c r="AH239" s="219"/>
      <c r="AI239" s="219"/>
      <c r="AJ239" s="219"/>
      <c r="AK239" s="219"/>
      <c r="AL239" s="219"/>
      <c r="AM239" s="219"/>
      <c r="AN239" s="219"/>
      <c r="AO239" s="219"/>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c r="BN239" s="165"/>
      <c r="BO239" s="251"/>
      <c r="BP239" s="364" t="s">
        <v>1298</v>
      </c>
      <c r="BQ239" s="364" t="s">
        <v>1298</v>
      </c>
      <c r="BR239" s="364" t="s">
        <v>1298</v>
      </c>
      <c r="BS239" s="250"/>
      <c r="BT239" s="364" t="s">
        <v>1298</v>
      </c>
      <c r="BU239" s="364" t="s">
        <v>1298</v>
      </c>
      <c r="BV239" s="364" t="s">
        <v>1298</v>
      </c>
      <c r="BW239" s="364" t="s">
        <v>1298</v>
      </c>
      <c r="BX239" s="364" t="s">
        <v>1298</v>
      </c>
      <c r="BY239" s="250"/>
    </row>
    <row r="240" spans="3:78" ht="14.25">
      <c r="C240" s="306"/>
      <c r="D240" s="367"/>
      <c r="E240" s="370"/>
      <c r="F240" s="406"/>
      <c r="G240" s="376"/>
      <c r="H240" s="379"/>
      <c r="I240" s="382"/>
      <c r="J240" s="382"/>
      <c r="K240" s="385"/>
      <c r="L240" s="388"/>
      <c r="M240" s="391"/>
      <c r="N240" s="394"/>
      <c r="O240" s="397"/>
      <c r="P240" s="400"/>
      <c r="Q240" s="403"/>
      <c r="R240" s="362"/>
      <c r="S240" s="362"/>
      <c r="T240" s="362"/>
      <c r="U240" s="362"/>
      <c r="V240" s="362"/>
      <c r="W240" s="362"/>
      <c r="X240" s="362"/>
      <c r="Y240" s="362"/>
      <c r="Z240" s="362"/>
      <c r="AA240" s="362"/>
      <c r="AB240" s="362"/>
      <c r="AC240" s="362"/>
      <c r="AD240" s="362"/>
      <c r="AE240" s="193"/>
      <c r="AF240" s="217" t="s">
        <v>268</v>
      </c>
      <c r="AG240" s="158" t="s">
        <v>327</v>
      </c>
      <c r="AH240" s="300" t="s">
        <v>19</v>
      </c>
      <c r="AI240" s="301" t="s">
        <v>154</v>
      </c>
      <c r="AJ240" s="221"/>
      <c r="AK240" s="221"/>
      <c r="AL240" s="221"/>
      <c r="AM240" s="221"/>
      <c r="AN240" s="221"/>
      <c r="AO240" s="221"/>
      <c r="AP240" s="302" t="s">
        <v>19</v>
      </c>
      <c r="AQ240" s="195">
        <f>SUM(AT240,AW240,AZ240,BC240,BF240,BI240,BL240)</f>
        <v>43444.280023932639</v>
      </c>
      <c r="AR240" s="197">
        <f>SUM(AT240,AX240,BA240,BD240,BG240,BJ240,BM240)</f>
        <v>0</v>
      </c>
      <c r="AS240" s="195">
        <f>AQ240-AR240</f>
        <v>43444.280023932639</v>
      </c>
      <c r="AT240" s="312"/>
      <c r="AU240" s="312"/>
      <c r="AV240" s="244"/>
      <c r="AW240" s="159"/>
      <c r="AX240" s="312"/>
      <c r="AY240" s="194">
        <f>AW240-AX240</f>
        <v>0</v>
      </c>
      <c r="AZ240" s="160">
        <v>2397.3272751487411</v>
      </c>
      <c r="BA240" s="312"/>
      <c r="BB240" s="194">
        <f>AZ240-BA240</f>
        <v>2397.3272751487411</v>
      </c>
      <c r="BC240" s="159">
        <v>41046.9527487839</v>
      </c>
      <c r="BD240" s="312"/>
      <c r="BE240" s="194">
        <f>BC240-BD240</f>
        <v>41046.9527487839</v>
      </c>
      <c r="BF240" s="159"/>
      <c r="BG240" s="244"/>
      <c r="BH240" s="194">
        <f>BF240-BG240</f>
        <v>0</v>
      </c>
      <c r="BI240" s="159"/>
      <c r="BJ240" s="244"/>
      <c r="BK240" s="194">
        <f>BI240-BJ240</f>
        <v>0</v>
      </c>
      <c r="BL240" s="312"/>
      <c r="BM240" s="312"/>
      <c r="BN240" s="195">
        <f>BL240-BM240</f>
        <v>0</v>
      </c>
      <c r="BO240" s="251">
        <v>0</v>
      </c>
      <c r="BP240" s="364"/>
      <c r="BQ240" s="364"/>
      <c r="BR240" s="364"/>
      <c r="BS240" s="249" t="str">
        <f>AG240 &amp; BO240</f>
        <v>За счет платы за технологическое присоединение0</v>
      </c>
      <c r="BT240" s="364"/>
      <c r="BU240" s="364"/>
      <c r="BV240" s="364"/>
      <c r="BW240" s="364"/>
      <c r="BX240" s="364"/>
      <c r="BY240" s="249" t="str">
        <f>AG240&amp;AH240</f>
        <v>За счет платы за технологическое присоединениенет</v>
      </c>
      <c r="BZ240" s="250"/>
    </row>
    <row r="241" spans="3:78" ht="14.25">
      <c r="C241" s="97"/>
      <c r="D241" s="367"/>
      <c r="E241" s="370"/>
      <c r="F241" s="406"/>
      <c r="G241" s="376"/>
      <c r="H241" s="379"/>
      <c r="I241" s="382"/>
      <c r="J241" s="382"/>
      <c r="K241" s="385"/>
      <c r="L241" s="388"/>
      <c r="M241" s="391"/>
      <c r="N241" s="394"/>
      <c r="O241" s="397"/>
      <c r="P241" s="400"/>
      <c r="Q241" s="403"/>
      <c r="R241" s="362"/>
      <c r="S241" s="362"/>
      <c r="T241" s="362"/>
      <c r="U241" s="362"/>
      <c r="V241" s="362"/>
      <c r="W241" s="362"/>
      <c r="X241" s="362"/>
      <c r="Y241" s="362"/>
      <c r="Z241" s="362"/>
      <c r="AA241" s="362"/>
      <c r="AB241" s="362"/>
      <c r="AC241" s="362"/>
      <c r="AD241" s="362"/>
      <c r="AE241" s="322" t="s">
        <v>1240</v>
      </c>
      <c r="AF241" s="217" t="s">
        <v>118</v>
      </c>
      <c r="AG241" s="196" t="s">
        <v>223</v>
      </c>
      <c r="AH241" s="302" t="s">
        <v>19</v>
      </c>
      <c r="AI241" s="301" t="s">
        <v>154</v>
      </c>
      <c r="AJ241" s="221"/>
      <c r="AK241" s="221"/>
      <c r="AL241" s="221"/>
      <c r="AM241" s="221"/>
      <c r="AN241" s="221"/>
      <c r="AO241" s="221"/>
      <c r="AP241" s="302" t="s">
        <v>19</v>
      </c>
      <c r="AQ241" s="195">
        <f>SUM(AT241,AW241,AZ241,BC241,BF241,BI241,BL241)</f>
        <v>8688.8560047865467</v>
      </c>
      <c r="AR241" s="197">
        <f>SUM(AT241,AX241,BA241,BD241,BG241,BJ241,BM241)</f>
        <v>0</v>
      </c>
      <c r="AS241" s="195">
        <f>AQ241-AR241</f>
        <v>8688.8560047865467</v>
      </c>
      <c r="AT241" s="315"/>
      <c r="AU241" s="315"/>
      <c r="AV241" s="241"/>
      <c r="AW241" s="198"/>
      <c r="AX241" s="313"/>
      <c r="AY241" s="199">
        <f>AW241-AX241</f>
        <v>0</v>
      </c>
      <c r="AZ241" s="198">
        <f>2876.79273017849-AZ240</f>
        <v>479.46545502974868</v>
      </c>
      <c r="BA241" s="313"/>
      <c r="BB241" s="199">
        <f>AZ241-BA241</f>
        <v>479.46545502974868</v>
      </c>
      <c r="BC241" s="198">
        <f>49256.3432985407-BC240</f>
        <v>8209.3905497567976</v>
      </c>
      <c r="BD241" s="313"/>
      <c r="BE241" s="199">
        <f>BC241-BD241</f>
        <v>8209.3905497567976</v>
      </c>
      <c r="BF241" s="198"/>
      <c r="BG241" s="241"/>
      <c r="BH241" s="199">
        <f>BF241-BG241</f>
        <v>0</v>
      </c>
      <c r="BI241" s="198"/>
      <c r="BJ241" s="241"/>
      <c r="BK241" s="199">
        <f>BI241-BJ241</f>
        <v>0</v>
      </c>
      <c r="BL241" s="313"/>
      <c r="BM241" s="313"/>
      <c r="BN241" s="195">
        <f>BL241-BM241</f>
        <v>0</v>
      </c>
      <c r="BO241" s="251">
        <v>0</v>
      </c>
      <c r="BP241" s="364"/>
      <c r="BQ241" s="364"/>
      <c r="BR241" s="364"/>
      <c r="BS241" s="249" t="str">
        <f>AG241 &amp; BO241</f>
        <v>Прочие собственные средства0</v>
      </c>
      <c r="BT241" s="364"/>
      <c r="BU241" s="364"/>
      <c r="BV241" s="364"/>
      <c r="BW241" s="364"/>
      <c r="BX241" s="364"/>
      <c r="BY241" s="249" t="str">
        <f>AG241&amp;AH241</f>
        <v>Прочие собственные средстванет</v>
      </c>
      <c r="BZ241" s="250"/>
    </row>
    <row r="242" spans="3:78" ht="15" customHeight="1">
      <c r="C242" s="306"/>
      <c r="D242" s="367"/>
      <c r="E242" s="370"/>
      <c r="F242" s="406"/>
      <c r="G242" s="376"/>
      <c r="H242" s="379"/>
      <c r="I242" s="382"/>
      <c r="J242" s="382"/>
      <c r="K242" s="385"/>
      <c r="L242" s="388"/>
      <c r="M242" s="391"/>
      <c r="N242" s="395"/>
      <c r="O242" s="398"/>
      <c r="P242" s="401"/>
      <c r="Q242" s="404"/>
      <c r="R242" s="363"/>
      <c r="S242" s="363"/>
      <c r="T242" s="363"/>
      <c r="U242" s="363"/>
      <c r="V242" s="363"/>
      <c r="W242" s="363"/>
      <c r="X242" s="363"/>
      <c r="Y242" s="363"/>
      <c r="Z242" s="363"/>
      <c r="AA242" s="363"/>
      <c r="AB242" s="363"/>
      <c r="AC242" s="363"/>
      <c r="AD242" s="363"/>
      <c r="AE242" s="279" t="s">
        <v>379</v>
      </c>
      <c r="AF242" s="203"/>
      <c r="AG242" s="223" t="s">
        <v>24</v>
      </c>
      <c r="AH242" s="223"/>
      <c r="AI242" s="223"/>
      <c r="AJ242" s="223"/>
      <c r="AK242" s="223"/>
      <c r="AL242" s="223"/>
      <c r="AM242" s="223"/>
      <c r="AN242" s="223"/>
      <c r="AO242" s="223"/>
      <c r="AP242" s="168"/>
      <c r="AQ242" s="169"/>
      <c r="AR242" s="169"/>
      <c r="AS242" s="169"/>
      <c r="AT242" s="169"/>
      <c r="AU242" s="169"/>
      <c r="AV242" s="169"/>
      <c r="AW242" s="169"/>
      <c r="AX242" s="169"/>
      <c r="AY242" s="169"/>
      <c r="AZ242" s="169"/>
      <c r="BA242" s="169"/>
      <c r="BB242" s="169"/>
      <c r="BC242" s="169"/>
      <c r="BD242" s="169"/>
      <c r="BE242" s="169"/>
      <c r="BF242" s="169"/>
      <c r="BG242" s="169"/>
      <c r="BH242" s="169"/>
      <c r="BI242" s="169"/>
      <c r="BJ242" s="169"/>
      <c r="BK242" s="169"/>
      <c r="BL242" s="169"/>
      <c r="BM242" s="169"/>
      <c r="BN242" s="170"/>
      <c r="BO242" s="251"/>
      <c r="BP242" s="364"/>
      <c r="BQ242" s="364"/>
      <c r="BR242" s="364"/>
      <c r="BS242" s="250"/>
      <c r="BT242" s="364"/>
      <c r="BU242" s="364"/>
      <c r="BV242" s="364"/>
      <c r="BW242" s="364"/>
      <c r="BX242" s="364"/>
      <c r="BY242" s="250"/>
    </row>
    <row r="243" spans="3:78" ht="15" customHeight="1" thickBot="1">
      <c r="C243" s="307"/>
      <c r="D243" s="368"/>
      <c r="E243" s="371"/>
      <c r="F243" s="407"/>
      <c r="G243" s="377"/>
      <c r="H243" s="380"/>
      <c r="I243" s="383"/>
      <c r="J243" s="383"/>
      <c r="K243" s="386"/>
      <c r="L243" s="389"/>
      <c r="M243" s="392"/>
      <c r="N243" s="280" t="s">
        <v>380</v>
      </c>
      <c r="O243" s="212"/>
      <c r="P243" s="365" t="s">
        <v>154</v>
      </c>
      <c r="Q243" s="365"/>
      <c r="R243" s="171"/>
      <c r="S243" s="171"/>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7"/>
      <c r="BO243" s="251"/>
      <c r="BP243" s="250"/>
      <c r="BQ243" s="250"/>
      <c r="BR243" s="250"/>
      <c r="BS243" s="250"/>
      <c r="BT243" s="250"/>
      <c r="BU243" s="250"/>
      <c r="BY243" s="250"/>
    </row>
    <row r="244" spans="3:78" ht="11.25" customHeight="1">
      <c r="C244" s="97" t="s">
        <v>1240</v>
      </c>
      <c r="D244" s="366" t="s">
        <v>1279</v>
      </c>
      <c r="E244" s="369" t="s">
        <v>198</v>
      </c>
      <c r="F244" s="405" t="s">
        <v>207</v>
      </c>
      <c r="G244" s="375" t="s">
        <v>1309</v>
      </c>
      <c r="H244" s="378" t="s">
        <v>715</v>
      </c>
      <c r="I244" s="381" t="s">
        <v>715</v>
      </c>
      <c r="J244" s="381" t="s">
        <v>716</v>
      </c>
      <c r="K244" s="384">
        <v>1</v>
      </c>
      <c r="L244" s="387" t="s">
        <v>5</v>
      </c>
      <c r="M244" s="390">
        <v>0</v>
      </c>
      <c r="N244" s="163"/>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c r="AX244" s="161"/>
      <c r="AY244" s="161"/>
      <c r="AZ244" s="161"/>
      <c r="BA244" s="161"/>
      <c r="BB244" s="161"/>
      <c r="BC244" s="161"/>
      <c r="BD244" s="161"/>
      <c r="BE244" s="161"/>
      <c r="BF244" s="161"/>
      <c r="BG244" s="161"/>
      <c r="BH244" s="161"/>
      <c r="BI244" s="161"/>
      <c r="BJ244" s="161"/>
      <c r="BK244" s="161"/>
      <c r="BL244" s="161"/>
      <c r="BM244" s="161"/>
      <c r="BN244" s="162"/>
      <c r="BO244" s="251"/>
      <c r="BP244" s="250"/>
      <c r="BQ244" s="250"/>
      <c r="BR244" s="250"/>
      <c r="BS244" s="250"/>
      <c r="BT244" s="250"/>
      <c r="BU244" s="250"/>
      <c r="BY244" s="250"/>
    </row>
    <row r="245" spans="3:78" ht="11.25" customHeight="1">
      <c r="C245" s="306"/>
      <c r="D245" s="367"/>
      <c r="E245" s="370"/>
      <c r="F245" s="406"/>
      <c r="G245" s="376"/>
      <c r="H245" s="379"/>
      <c r="I245" s="382"/>
      <c r="J245" s="382"/>
      <c r="K245" s="385"/>
      <c r="L245" s="388"/>
      <c r="M245" s="391"/>
      <c r="N245" s="393"/>
      <c r="O245" s="396">
        <v>1</v>
      </c>
      <c r="P245" s="399" t="s">
        <v>1297</v>
      </c>
      <c r="Q245" s="402"/>
      <c r="R245" s="361" t="s">
        <v>154</v>
      </c>
      <c r="S245" s="361" t="s">
        <v>154</v>
      </c>
      <c r="T245" s="361" t="s">
        <v>154</v>
      </c>
      <c r="U245" s="361" t="s">
        <v>154</v>
      </c>
      <c r="V245" s="361" t="s">
        <v>154</v>
      </c>
      <c r="W245" s="361" t="s">
        <v>154</v>
      </c>
      <c r="X245" s="361" t="s">
        <v>154</v>
      </c>
      <c r="Y245" s="361" t="s">
        <v>154</v>
      </c>
      <c r="Z245" s="361" t="s">
        <v>154</v>
      </c>
      <c r="AA245" s="361" t="s">
        <v>154</v>
      </c>
      <c r="AB245" s="361" t="s">
        <v>154</v>
      </c>
      <c r="AC245" s="361" t="s">
        <v>154</v>
      </c>
      <c r="AD245" s="361" t="s">
        <v>154</v>
      </c>
      <c r="AE245" s="209"/>
      <c r="AF245" s="220">
        <v>0</v>
      </c>
      <c r="AG245" s="219" t="s">
        <v>308</v>
      </c>
      <c r="AH245" s="219"/>
      <c r="AI245" s="219"/>
      <c r="AJ245" s="219"/>
      <c r="AK245" s="219"/>
      <c r="AL245" s="219"/>
      <c r="AM245" s="219"/>
      <c r="AN245" s="219"/>
      <c r="AO245" s="219"/>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c r="BN245" s="165"/>
      <c r="BO245" s="251"/>
      <c r="BP245" s="364" t="s">
        <v>1298</v>
      </c>
      <c r="BQ245" s="364" t="s">
        <v>1298</v>
      </c>
      <c r="BR245" s="364" t="s">
        <v>1298</v>
      </c>
      <c r="BS245" s="250"/>
      <c r="BT245" s="364" t="s">
        <v>1298</v>
      </c>
      <c r="BU245" s="364" t="s">
        <v>1298</v>
      </c>
      <c r="BV245" s="364" t="s">
        <v>1298</v>
      </c>
      <c r="BW245" s="364" t="s">
        <v>1298</v>
      </c>
      <c r="BX245" s="364" t="s">
        <v>1298</v>
      </c>
      <c r="BY245" s="250"/>
    </row>
    <row r="246" spans="3:78" ht="14.25">
      <c r="C246" s="306"/>
      <c r="D246" s="367"/>
      <c r="E246" s="370"/>
      <c r="F246" s="406"/>
      <c r="G246" s="376"/>
      <c r="H246" s="379"/>
      <c r="I246" s="382"/>
      <c r="J246" s="382"/>
      <c r="K246" s="385"/>
      <c r="L246" s="388"/>
      <c r="M246" s="391"/>
      <c r="N246" s="394"/>
      <c r="O246" s="397"/>
      <c r="P246" s="400"/>
      <c r="Q246" s="403"/>
      <c r="R246" s="362"/>
      <c r="S246" s="362"/>
      <c r="T246" s="362"/>
      <c r="U246" s="362"/>
      <c r="V246" s="362"/>
      <c r="W246" s="362"/>
      <c r="X246" s="362"/>
      <c r="Y246" s="362"/>
      <c r="Z246" s="362"/>
      <c r="AA246" s="362"/>
      <c r="AB246" s="362"/>
      <c r="AC246" s="362"/>
      <c r="AD246" s="362"/>
      <c r="AE246" s="193"/>
      <c r="AF246" s="217" t="s">
        <v>268</v>
      </c>
      <c r="AG246" s="158" t="s">
        <v>327</v>
      </c>
      <c r="AH246" s="300" t="s">
        <v>19</v>
      </c>
      <c r="AI246" s="301" t="s">
        <v>154</v>
      </c>
      <c r="AJ246" s="221"/>
      <c r="AK246" s="221"/>
      <c r="AL246" s="221"/>
      <c r="AM246" s="221"/>
      <c r="AN246" s="221"/>
      <c r="AO246" s="221"/>
      <c r="AP246" s="302" t="s">
        <v>19</v>
      </c>
      <c r="AQ246" s="195">
        <f>SUM(AT246,AW246,AZ246,BC246,BF246,BI246,BL246)</f>
        <v>2321.0799584163083</v>
      </c>
      <c r="AR246" s="197">
        <f>SUM(AT246,AX246,BA246,BD246,BG246,BJ246,BM246)</f>
        <v>0</v>
      </c>
      <c r="AS246" s="195">
        <f>AQ246-AR246</f>
        <v>2321.0799584163083</v>
      </c>
      <c r="AT246" s="312"/>
      <c r="AU246" s="312"/>
      <c r="AV246" s="244"/>
      <c r="AW246" s="159"/>
      <c r="AX246" s="312"/>
      <c r="AY246" s="194">
        <f>AW246-AX246</f>
        <v>0</v>
      </c>
      <c r="AZ246" s="160"/>
      <c r="BA246" s="312"/>
      <c r="BB246" s="194">
        <f>AZ246-BA246</f>
        <v>0</v>
      </c>
      <c r="BC246" s="159">
        <v>2321.0799584163083</v>
      </c>
      <c r="BD246" s="312"/>
      <c r="BE246" s="194">
        <f>BC246-BD246</f>
        <v>2321.0799584163083</v>
      </c>
      <c r="BF246" s="159"/>
      <c r="BG246" s="244"/>
      <c r="BH246" s="194">
        <f>BF246-BG246</f>
        <v>0</v>
      </c>
      <c r="BI246" s="159"/>
      <c r="BJ246" s="244"/>
      <c r="BK246" s="194">
        <f>BI246-BJ246</f>
        <v>0</v>
      </c>
      <c r="BL246" s="312"/>
      <c r="BM246" s="312"/>
      <c r="BN246" s="195">
        <f>BL246-BM246</f>
        <v>0</v>
      </c>
      <c r="BO246" s="251">
        <v>0</v>
      </c>
      <c r="BP246" s="364"/>
      <c r="BQ246" s="364"/>
      <c r="BR246" s="364"/>
      <c r="BS246" s="249" t="str">
        <f>AG246 &amp; BO246</f>
        <v>За счет платы за технологическое присоединение0</v>
      </c>
      <c r="BT246" s="364"/>
      <c r="BU246" s="364"/>
      <c r="BV246" s="364"/>
      <c r="BW246" s="364"/>
      <c r="BX246" s="364"/>
      <c r="BY246" s="249" t="str">
        <f>AG246&amp;AH246</f>
        <v>За счет платы за технологическое присоединениенет</v>
      </c>
      <c r="BZ246" s="250"/>
    </row>
    <row r="247" spans="3:78" ht="14.25">
      <c r="C247" s="97"/>
      <c r="D247" s="367"/>
      <c r="E247" s="370"/>
      <c r="F247" s="406"/>
      <c r="G247" s="376"/>
      <c r="H247" s="379"/>
      <c r="I247" s="382"/>
      <c r="J247" s="382"/>
      <c r="K247" s="385"/>
      <c r="L247" s="388"/>
      <c r="M247" s="391"/>
      <c r="N247" s="394"/>
      <c r="O247" s="397"/>
      <c r="P247" s="400"/>
      <c r="Q247" s="403"/>
      <c r="R247" s="362"/>
      <c r="S247" s="362"/>
      <c r="T247" s="362"/>
      <c r="U247" s="362"/>
      <c r="V247" s="362"/>
      <c r="W247" s="362"/>
      <c r="X247" s="362"/>
      <c r="Y247" s="362"/>
      <c r="Z247" s="362"/>
      <c r="AA247" s="362"/>
      <c r="AB247" s="362"/>
      <c r="AC247" s="362"/>
      <c r="AD247" s="362"/>
      <c r="AE247" s="322" t="s">
        <v>1240</v>
      </c>
      <c r="AF247" s="217" t="s">
        <v>118</v>
      </c>
      <c r="AG247" s="196" t="s">
        <v>223</v>
      </c>
      <c r="AH247" s="302" t="s">
        <v>19</v>
      </c>
      <c r="AI247" s="301" t="s">
        <v>154</v>
      </c>
      <c r="AJ247" s="221"/>
      <c r="AK247" s="221"/>
      <c r="AL247" s="221"/>
      <c r="AM247" s="221"/>
      <c r="AN247" s="221"/>
      <c r="AO247" s="221"/>
      <c r="AP247" s="302" t="s">
        <v>19</v>
      </c>
      <c r="AQ247" s="195">
        <f>SUM(AT247,AW247,AZ247,BC247,BF247,BI247,BL247)</f>
        <v>464.21599168326156</v>
      </c>
      <c r="AR247" s="197">
        <f>SUM(AT247,AX247,BA247,BD247,BG247,BJ247,BM247)</f>
        <v>0</v>
      </c>
      <c r="AS247" s="195">
        <f>AQ247-AR247</f>
        <v>464.21599168326156</v>
      </c>
      <c r="AT247" s="315"/>
      <c r="AU247" s="315"/>
      <c r="AV247" s="241"/>
      <c r="AW247" s="198"/>
      <c r="AX247" s="313"/>
      <c r="AY247" s="199">
        <f>AW247-AX247</f>
        <v>0</v>
      </c>
      <c r="AZ247" s="173"/>
      <c r="BA247" s="313"/>
      <c r="BB247" s="199">
        <f>AZ247-BA247</f>
        <v>0</v>
      </c>
      <c r="BC247" s="198">
        <f>2785.29595009957-BC246</f>
        <v>464.21599168326156</v>
      </c>
      <c r="BD247" s="313"/>
      <c r="BE247" s="199">
        <f>BC247-BD247</f>
        <v>464.21599168326156</v>
      </c>
      <c r="BF247" s="198"/>
      <c r="BG247" s="241"/>
      <c r="BH247" s="199">
        <f>BF247-BG247</f>
        <v>0</v>
      </c>
      <c r="BI247" s="198"/>
      <c r="BJ247" s="241"/>
      <c r="BK247" s="199">
        <f>BI247-BJ247</f>
        <v>0</v>
      </c>
      <c r="BL247" s="313"/>
      <c r="BM247" s="313"/>
      <c r="BN247" s="195">
        <f>BL247-BM247</f>
        <v>0</v>
      </c>
      <c r="BO247" s="251">
        <v>0</v>
      </c>
      <c r="BP247" s="364"/>
      <c r="BQ247" s="364"/>
      <c r="BR247" s="364"/>
      <c r="BS247" s="249" t="str">
        <f>AG247 &amp; BO247</f>
        <v>Прочие собственные средства0</v>
      </c>
      <c r="BT247" s="364"/>
      <c r="BU247" s="364"/>
      <c r="BV247" s="364"/>
      <c r="BW247" s="364"/>
      <c r="BX247" s="364"/>
      <c r="BY247" s="249" t="str">
        <f>AG247&amp;AH247</f>
        <v>Прочие собственные средстванет</v>
      </c>
      <c r="BZ247" s="250"/>
    </row>
    <row r="248" spans="3:78" ht="15" customHeight="1">
      <c r="C248" s="306"/>
      <c r="D248" s="367"/>
      <c r="E248" s="370"/>
      <c r="F248" s="406"/>
      <c r="G248" s="376"/>
      <c r="H248" s="379"/>
      <c r="I248" s="382"/>
      <c r="J248" s="382"/>
      <c r="K248" s="385"/>
      <c r="L248" s="388"/>
      <c r="M248" s="391"/>
      <c r="N248" s="395"/>
      <c r="O248" s="398"/>
      <c r="P248" s="401"/>
      <c r="Q248" s="404"/>
      <c r="R248" s="363"/>
      <c r="S248" s="363"/>
      <c r="T248" s="363"/>
      <c r="U248" s="363"/>
      <c r="V248" s="363"/>
      <c r="W248" s="363"/>
      <c r="X248" s="363"/>
      <c r="Y248" s="363"/>
      <c r="Z248" s="363"/>
      <c r="AA248" s="363"/>
      <c r="AB248" s="363"/>
      <c r="AC248" s="363"/>
      <c r="AD248" s="363"/>
      <c r="AE248" s="279" t="s">
        <v>379</v>
      </c>
      <c r="AF248" s="203"/>
      <c r="AG248" s="223" t="s">
        <v>24</v>
      </c>
      <c r="AH248" s="223"/>
      <c r="AI248" s="223"/>
      <c r="AJ248" s="223"/>
      <c r="AK248" s="223"/>
      <c r="AL248" s="223"/>
      <c r="AM248" s="223"/>
      <c r="AN248" s="223"/>
      <c r="AO248" s="223"/>
      <c r="AP248" s="168"/>
      <c r="AQ248" s="169"/>
      <c r="AR248" s="169"/>
      <c r="AS248" s="169"/>
      <c r="AT248" s="169"/>
      <c r="AU248" s="169"/>
      <c r="AV248" s="169"/>
      <c r="AW248" s="169"/>
      <c r="AX248" s="169"/>
      <c r="AY248" s="169"/>
      <c r="AZ248" s="169"/>
      <c r="BA248" s="169"/>
      <c r="BB248" s="169"/>
      <c r="BC248" s="169"/>
      <c r="BD248" s="169"/>
      <c r="BE248" s="169"/>
      <c r="BF248" s="169"/>
      <c r="BG248" s="169"/>
      <c r="BH248" s="169"/>
      <c r="BI248" s="169"/>
      <c r="BJ248" s="169"/>
      <c r="BK248" s="169"/>
      <c r="BL248" s="169"/>
      <c r="BM248" s="169"/>
      <c r="BN248" s="170"/>
      <c r="BO248" s="251"/>
      <c r="BP248" s="364"/>
      <c r="BQ248" s="364"/>
      <c r="BR248" s="364"/>
      <c r="BS248" s="250"/>
      <c r="BT248" s="364"/>
      <c r="BU248" s="364"/>
      <c r="BV248" s="364"/>
      <c r="BW248" s="364"/>
      <c r="BX248" s="364"/>
      <c r="BY248" s="250"/>
    </row>
    <row r="249" spans="3:78" ht="15" customHeight="1" thickBot="1">
      <c r="C249" s="307"/>
      <c r="D249" s="368"/>
      <c r="E249" s="371"/>
      <c r="F249" s="407"/>
      <c r="G249" s="377"/>
      <c r="H249" s="380"/>
      <c r="I249" s="383"/>
      <c r="J249" s="383"/>
      <c r="K249" s="386"/>
      <c r="L249" s="389"/>
      <c r="M249" s="392"/>
      <c r="N249" s="280" t="s">
        <v>380</v>
      </c>
      <c r="O249" s="212"/>
      <c r="P249" s="365" t="s">
        <v>154</v>
      </c>
      <c r="Q249" s="365"/>
      <c r="R249" s="171"/>
      <c r="S249" s="171"/>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7"/>
      <c r="BO249" s="251"/>
      <c r="BP249" s="250"/>
      <c r="BQ249" s="250"/>
      <c r="BR249" s="250"/>
      <c r="BS249" s="250"/>
      <c r="BT249" s="250"/>
      <c r="BU249" s="250"/>
      <c r="BY249" s="250"/>
    </row>
    <row r="250" spans="3:78" ht="11.25" customHeight="1">
      <c r="C250" s="97" t="s">
        <v>1240</v>
      </c>
      <c r="D250" s="366" t="s">
        <v>1280</v>
      </c>
      <c r="E250" s="369" t="s">
        <v>198</v>
      </c>
      <c r="F250" s="405" t="s">
        <v>207</v>
      </c>
      <c r="G250" s="375" t="s">
        <v>1310</v>
      </c>
      <c r="H250" s="378" t="s">
        <v>715</v>
      </c>
      <c r="I250" s="381" t="s">
        <v>715</v>
      </c>
      <c r="J250" s="381" t="s">
        <v>716</v>
      </c>
      <c r="K250" s="384">
        <v>2</v>
      </c>
      <c r="L250" s="387" t="s">
        <v>5</v>
      </c>
      <c r="M250" s="390">
        <v>0</v>
      </c>
      <c r="N250" s="163"/>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1"/>
      <c r="AY250" s="161"/>
      <c r="AZ250" s="161"/>
      <c r="BA250" s="161"/>
      <c r="BB250" s="161"/>
      <c r="BC250" s="161"/>
      <c r="BD250" s="161"/>
      <c r="BE250" s="161"/>
      <c r="BF250" s="161"/>
      <c r="BG250" s="161"/>
      <c r="BH250" s="161"/>
      <c r="BI250" s="161"/>
      <c r="BJ250" s="161"/>
      <c r="BK250" s="161"/>
      <c r="BL250" s="161"/>
      <c r="BM250" s="161"/>
      <c r="BN250" s="162"/>
      <c r="BO250" s="251"/>
      <c r="BP250" s="250"/>
      <c r="BQ250" s="250"/>
      <c r="BR250" s="250"/>
      <c r="BS250" s="250"/>
      <c r="BT250" s="250"/>
      <c r="BU250" s="250"/>
      <c r="BY250" s="250"/>
    </row>
    <row r="251" spans="3:78" ht="11.25" customHeight="1">
      <c r="C251" s="306"/>
      <c r="D251" s="367"/>
      <c r="E251" s="370"/>
      <c r="F251" s="406"/>
      <c r="G251" s="376"/>
      <c r="H251" s="379"/>
      <c r="I251" s="382"/>
      <c r="J251" s="382"/>
      <c r="K251" s="385"/>
      <c r="L251" s="388"/>
      <c r="M251" s="391"/>
      <c r="N251" s="393"/>
      <c r="O251" s="396">
        <v>1</v>
      </c>
      <c r="P251" s="399" t="s">
        <v>1297</v>
      </c>
      <c r="Q251" s="402"/>
      <c r="R251" s="361" t="s">
        <v>154</v>
      </c>
      <c r="S251" s="361" t="s">
        <v>154</v>
      </c>
      <c r="T251" s="361" t="s">
        <v>154</v>
      </c>
      <c r="U251" s="361" t="s">
        <v>154</v>
      </c>
      <c r="V251" s="361" t="s">
        <v>154</v>
      </c>
      <c r="W251" s="361" t="s">
        <v>154</v>
      </c>
      <c r="X251" s="361" t="s">
        <v>154</v>
      </c>
      <c r="Y251" s="361" t="s">
        <v>154</v>
      </c>
      <c r="Z251" s="361" t="s">
        <v>154</v>
      </c>
      <c r="AA251" s="361" t="s">
        <v>154</v>
      </c>
      <c r="AB251" s="361" t="s">
        <v>154</v>
      </c>
      <c r="AC251" s="361" t="s">
        <v>154</v>
      </c>
      <c r="AD251" s="361" t="s">
        <v>154</v>
      </c>
      <c r="AE251" s="209"/>
      <c r="AF251" s="220">
        <v>0</v>
      </c>
      <c r="AG251" s="219" t="s">
        <v>308</v>
      </c>
      <c r="AH251" s="219"/>
      <c r="AI251" s="219"/>
      <c r="AJ251" s="219"/>
      <c r="AK251" s="219"/>
      <c r="AL251" s="219"/>
      <c r="AM251" s="219"/>
      <c r="AN251" s="219"/>
      <c r="AO251" s="219"/>
      <c r="AP251" s="164"/>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c r="BN251" s="165"/>
      <c r="BO251" s="251"/>
      <c r="BP251" s="364" t="s">
        <v>1298</v>
      </c>
      <c r="BQ251" s="364" t="s">
        <v>1298</v>
      </c>
      <c r="BR251" s="364" t="s">
        <v>1298</v>
      </c>
      <c r="BS251" s="250"/>
      <c r="BT251" s="364" t="s">
        <v>1298</v>
      </c>
      <c r="BU251" s="364" t="s">
        <v>1298</v>
      </c>
      <c r="BV251" s="364" t="s">
        <v>1298</v>
      </c>
      <c r="BW251" s="364" t="s">
        <v>1298</v>
      </c>
      <c r="BX251" s="364" t="s">
        <v>1298</v>
      </c>
      <c r="BY251" s="250"/>
    </row>
    <row r="252" spans="3:78" ht="14.25">
      <c r="C252" s="306"/>
      <c r="D252" s="367"/>
      <c r="E252" s="370"/>
      <c r="F252" s="406"/>
      <c r="G252" s="376"/>
      <c r="H252" s="379"/>
      <c r="I252" s="382"/>
      <c r="J252" s="382"/>
      <c r="K252" s="385"/>
      <c r="L252" s="388"/>
      <c r="M252" s="391"/>
      <c r="N252" s="394"/>
      <c r="O252" s="397"/>
      <c r="P252" s="400"/>
      <c r="Q252" s="403"/>
      <c r="R252" s="362"/>
      <c r="S252" s="362"/>
      <c r="T252" s="362"/>
      <c r="U252" s="362"/>
      <c r="V252" s="362"/>
      <c r="W252" s="362"/>
      <c r="X252" s="362"/>
      <c r="Y252" s="362"/>
      <c r="Z252" s="362"/>
      <c r="AA252" s="362"/>
      <c r="AB252" s="362"/>
      <c r="AC252" s="362"/>
      <c r="AD252" s="362"/>
      <c r="AE252" s="193"/>
      <c r="AF252" s="217" t="s">
        <v>268</v>
      </c>
      <c r="AG252" s="158" t="s">
        <v>327</v>
      </c>
      <c r="AH252" s="300" t="s">
        <v>19</v>
      </c>
      <c r="AI252" s="301" t="s">
        <v>154</v>
      </c>
      <c r="AJ252" s="221"/>
      <c r="AK252" s="221"/>
      <c r="AL252" s="221"/>
      <c r="AM252" s="221"/>
      <c r="AN252" s="221"/>
      <c r="AO252" s="221"/>
      <c r="AP252" s="302" t="s">
        <v>19</v>
      </c>
      <c r="AQ252" s="195">
        <f>SUM(AT252,AW252,AZ252,BC252,BF252,BI252,BL252)</f>
        <v>12775.078056806859</v>
      </c>
      <c r="AR252" s="197">
        <f>SUM(AT252,AX252,BA252,BD252,BG252,BJ252,BM252)</f>
        <v>0</v>
      </c>
      <c r="AS252" s="195">
        <f>AQ252-AR252</f>
        <v>12775.078056806859</v>
      </c>
      <c r="AT252" s="312"/>
      <c r="AU252" s="312"/>
      <c r="AV252" s="244"/>
      <c r="AW252" s="159"/>
      <c r="AX252" s="312"/>
      <c r="AY252" s="194">
        <f>AW252-AX252</f>
        <v>0</v>
      </c>
      <c r="AZ252" s="160">
        <v>960.29614397852515</v>
      </c>
      <c r="BA252" s="312"/>
      <c r="BB252" s="194">
        <f>AZ252-BA252</f>
        <v>960.29614397852515</v>
      </c>
      <c r="BC252" s="159">
        <v>11814.781912828334</v>
      </c>
      <c r="BD252" s="312"/>
      <c r="BE252" s="194">
        <f>BC252-BD252</f>
        <v>11814.781912828334</v>
      </c>
      <c r="BF252" s="159"/>
      <c r="BG252" s="244"/>
      <c r="BH252" s="194">
        <f>BF252-BG252</f>
        <v>0</v>
      </c>
      <c r="BI252" s="159"/>
      <c r="BJ252" s="244"/>
      <c r="BK252" s="194">
        <f>BI252-BJ252</f>
        <v>0</v>
      </c>
      <c r="BL252" s="312"/>
      <c r="BM252" s="312"/>
      <c r="BN252" s="195">
        <f>BL252-BM252</f>
        <v>0</v>
      </c>
      <c r="BO252" s="251">
        <v>0</v>
      </c>
      <c r="BP252" s="364"/>
      <c r="BQ252" s="364"/>
      <c r="BR252" s="364"/>
      <c r="BS252" s="249" t="str">
        <f>AG252 &amp; BO252</f>
        <v>За счет платы за технологическое присоединение0</v>
      </c>
      <c r="BT252" s="364"/>
      <c r="BU252" s="364"/>
      <c r="BV252" s="364"/>
      <c r="BW252" s="364"/>
      <c r="BX252" s="364"/>
      <c r="BY252" s="249" t="str">
        <f>AG252&amp;AH252</f>
        <v>За счет платы за технологическое присоединениенет</v>
      </c>
      <c r="BZ252" s="250"/>
    </row>
    <row r="253" spans="3:78" ht="14.25">
      <c r="C253" s="97"/>
      <c r="D253" s="367"/>
      <c r="E253" s="370"/>
      <c r="F253" s="406"/>
      <c r="G253" s="376"/>
      <c r="H253" s="379"/>
      <c r="I253" s="382"/>
      <c r="J253" s="382"/>
      <c r="K253" s="385"/>
      <c r="L253" s="388"/>
      <c r="M253" s="391"/>
      <c r="N253" s="394"/>
      <c r="O253" s="397"/>
      <c r="P253" s="400"/>
      <c r="Q253" s="403"/>
      <c r="R253" s="362"/>
      <c r="S253" s="362"/>
      <c r="T253" s="362"/>
      <c r="U253" s="362"/>
      <c r="V253" s="362"/>
      <c r="W253" s="362"/>
      <c r="X253" s="362"/>
      <c r="Y253" s="362"/>
      <c r="Z253" s="362"/>
      <c r="AA253" s="362"/>
      <c r="AB253" s="362"/>
      <c r="AC253" s="362"/>
      <c r="AD253" s="362"/>
      <c r="AE253" s="322" t="s">
        <v>1240</v>
      </c>
      <c r="AF253" s="217" t="s">
        <v>118</v>
      </c>
      <c r="AG253" s="196" t="s">
        <v>223</v>
      </c>
      <c r="AH253" s="302" t="s">
        <v>19</v>
      </c>
      <c r="AI253" s="301" t="s">
        <v>154</v>
      </c>
      <c r="AJ253" s="221"/>
      <c r="AK253" s="221"/>
      <c r="AL253" s="221"/>
      <c r="AM253" s="221"/>
      <c r="AN253" s="221"/>
      <c r="AO253" s="221"/>
      <c r="AP253" s="302" t="s">
        <v>19</v>
      </c>
      <c r="AQ253" s="195">
        <f>SUM(AT253,AW253,AZ253,BC253,BF253,BI253,BL253)</f>
        <v>2555.0156113613712</v>
      </c>
      <c r="AR253" s="197">
        <f>SUM(AT253,AX253,BA253,BD253,BG253,BJ253,BM253)</f>
        <v>0</v>
      </c>
      <c r="AS253" s="195">
        <f>AQ253-AR253</f>
        <v>2555.0156113613712</v>
      </c>
      <c r="AT253" s="315"/>
      <c r="AU253" s="315"/>
      <c r="AV253" s="241"/>
      <c r="AW253" s="198"/>
      <c r="AX253" s="313"/>
      <c r="AY253" s="199">
        <f>AW253-AX253</f>
        <v>0</v>
      </c>
      <c r="AZ253" s="173">
        <f>1152.35537277423-AZ252</f>
        <v>192.05922879570494</v>
      </c>
      <c r="BA253" s="313"/>
      <c r="BB253" s="199">
        <f>AZ253-BA253</f>
        <v>192.05922879570494</v>
      </c>
      <c r="BC253" s="198">
        <f>14177.738295394-BC252</f>
        <v>2362.956382565666</v>
      </c>
      <c r="BD253" s="313"/>
      <c r="BE253" s="199">
        <f>BC253-BD253</f>
        <v>2362.956382565666</v>
      </c>
      <c r="BF253" s="198"/>
      <c r="BG253" s="241"/>
      <c r="BH253" s="199">
        <f>BF253-BG253</f>
        <v>0</v>
      </c>
      <c r="BI253" s="198"/>
      <c r="BJ253" s="241"/>
      <c r="BK253" s="199">
        <f>BI253-BJ253</f>
        <v>0</v>
      </c>
      <c r="BL253" s="313"/>
      <c r="BM253" s="313"/>
      <c r="BN253" s="195">
        <f>BL253-BM253</f>
        <v>0</v>
      </c>
      <c r="BO253" s="251">
        <v>0</v>
      </c>
      <c r="BP253" s="364"/>
      <c r="BQ253" s="364"/>
      <c r="BR253" s="364"/>
      <c r="BS253" s="249" t="str">
        <f>AG253 &amp; BO253</f>
        <v>Прочие собственные средства0</v>
      </c>
      <c r="BT253" s="364"/>
      <c r="BU253" s="364"/>
      <c r="BV253" s="364"/>
      <c r="BW253" s="364"/>
      <c r="BX253" s="364"/>
      <c r="BY253" s="249" t="str">
        <f>AG253&amp;AH253</f>
        <v>Прочие собственные средстванет</v>
      </c>
      <c r="BZ253" s="250"/>
    </row>
    <row r="254" spans="3:78" ht="15" customHeight="1">
      <c r="C254" s="306"/>
      <c r="D254" s="367"/>
      <c r="E254" s="370"/>
      <c r="F254" s="406"/>
      <c r="G254" s="376"/>
      <c r="H254" s="379"/>
      <c r="I254" s="382"/>
      <c r="J254" s="382"/>
      <c r="K254" s="385"/>
      <c r="L254" s="388"/>
      <c r="M254" s="391"/>
      <c r="N254" s="395"/>
      <c r="O254" s="398"/>
      <c r="P254" s="401"/>
      <c r="Q254" s="404"/>
      <c r="R254" s="363"/>
      <c r="S254" s="363"/>
      <c r="T254" s="363"/>
      <c r="U254" s="363"/>
      <c r="V254" s="363"/>
      <c r="W254" s="363"/>
      <c r="X254" s="363"/>
      <c r="Y254" s="363"/>
      <c r="Z254" s="363"/>
      <c r="AA254" s="363"/>
      <c r="AB254" s="363"/>
      <c r="AC254" s="363"/>
      <c r="AD254" s="363"/>
      <c r="AE254" s="279" t="s">
        <v>379</v>
      </c>
      <c r="AF254" s="203"/>
      <c r="AG254" s="223" t="s">
        <v>24</v>
      </c>
      <c r="AH254" s="223"/>
      <c r="AI254" s="223"/>
      <c r="AJ254" s="223"/>
      <c r="AK254" s="223"/>
      <c r="AL254" s="223"/>
      <c r="AM254" s="223"/>
      <c r="AN254" s="223"/>
      <c r="AO254" s="223"/>
      <c r="AP254" s="168"/>
      <c r="AQ254" s="169"/>
      <c r="AR254" s="169"/>
      <c r="AS254" s="169"/>
      <c r="AT254" s="169"/>
      <c r="AU254" s="169"/>
      <c r="AV254" s="169"/>
      <c r="AW254" s="169"/>
      <c r="AX254" s="169"/>
      <c r="AY254" s="169"/>
      <c r="AZ254" s="169"/>
      <c r="BA254" s="169"/>
      <c r="BB254" s="169"/>
      <c r="BC254" s="169"/>
      <c r="BD254" s="169"/>
      <c r="BE254" s="169"/>
      <c r="BF254" s="169"/>
      <c r="BG254" s="169"/>
      <c r="BH254" s="169"/>
      <c r="BI254" s="169"/>
      <c r="BJ254" s="169"/>
      <c r="BK254" s="169"/>
      <c r="BL254" s="169"/>
      <c r="BM254" s="169"/>
      <c r="BN254" s="170"/>
      <c r="BO254" s="251"/>
      <c r="BP254" s="364"/>
      <c r="BQ254" s="364"/>
      <c r="BR254" s="364"/>
      <c r="BS254" s="250"/>
      <c r="BT254" s="364"/>
      <c r="BU254" s="364"/>
      <c r="BV254" s="364"/>
      <c r="BW254" s="364"/>
      <c r="BX254" s="364"/>
      <c r="BY254" s="250"/>
    </row>
    <row r="255" spans="3:78" ht="15" customHeight="1" thickBot="1">
      <c r="C255" s="307"/>
      <c r="D255" s="368"/>
      <c r="E255" s="371"/>
      <c r="F255" s="407"/>
      <c r="G255" s="377"/>
      <c r="H255" s="380"/>
      <c r="I255" s="383"/>
      <c r="J255" s="383"/>
      <c r="K255" s="386"/>
      <c r="L255" s="389"/>
      <c r="M255" s="392"/>
      <c r="N255" s="280" t="s">
        <v>380</v>
      </c>
      <c r="O255" s="212"/>
      <c r="P255" s="365" t="s">
        <v>154</v>
      </c>
      <c r="Q255" s="365"/>
      <c r="R255" s="171"/>
      <c r="S255" s="171"/>
      <c r="T255" s="166"/>
      <c r="U255" s="166"/>
      <c r="V255" s="166"/>
      <c r="W255" s="166"/>
      <c r="X255" s="166"/>
      <c r="Y255" s="166"/>
      <c r="Z255" s="166"/>
      <c r="AA255" s="166"/>
      <c r="AB255" s="166"/>
      <c r="AC255" s="166"/>
      <c r="AD255" s="166"/>
      <c r="AE255" s="166"/>
      <c r="AF255" s="166"/>
      <c r="AG255" s="166"/>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7"/>
      <c r="BO255" s="251"/>
      <c r="BP255" s="250"/>
      <c r="BQ255" s="250"/>
      <c r="BR255" s="250"/>
      <c r="BS255" s="250"/>
      <c r="BT255" s="250"/>
      <c r="BU255" s="250"/>
      <c r="BY255" s="250"/>
    </row>
    <row r="256" spans="3:78" ht="11.25" customHeight="1">
      <c r="C256" s="97" t="s">
        <v>1240</v>
      </c>
      <c r="D256" s="366" t="s">
        <v>1299</v>
      </c>
      <c r="E256" s="369" t="s">
        <v>198</v>
      </c>
      <c r="F256" s="405" t="s">
        <v>207</v>
      </c>
      <c r="G256" s="375" t="s">
        <v>1311</v>
      </c>
      <c r="H256" s="378" t="s">
        <v>715</v>
      </c>
      <c r="I256" s="381" t="s">
        <v>715</v>
      </c>
      <c r="J256" s="381" t="s">
        <v>716</v>
      </c>
      <c r="K256" s="384">
        <v>2</v>
      </c>
      <c r="L256" s="387" t="s">
        <v>4</v>
      </c>
      <c r="M256" s="390">
        <v>0</v>
      </c>
      <c r="N256" s="163"/>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1"/>
      <c r="AY256" s="161"/>
      <c r="AZ256" s="161"/>
      <c r="BA256" s="161"/>
      <c r="BB256" s="161"/>
      <c r="BC256" s="161"/>
      <c r="BD256" s="161"/>
      <c r="BE256" s="161"/>
      <c r="BF256" s="161"/>
      <c r="BG256" s="161"/>
      <c r="BH256" s="161"/>
      <c r="BI256" s="161"/>
      <c r="BJ256" s="161"/>
      <c r="BK256" s="161"/>
      <c r="BL256" s="161"/>
      <c r="BM256" s="161"/>
      <c r="BN256" s="162"/>
      <c r="BO256" s="251"/>
      <c r="BP256" s="250"/>
      <c r="BQ256" s="250"/>
      <c r="BR256" s="250"/>
      <c r="BS256" s="250"/>
      <c r="BT256" s="250"/>
      <c r="BU256" s="250"/>
      <c r="BY256" s="250"/>
    </row>
    <row r="257" spans="3:78" ht="11.25" customHeight="1">
      <c r="C257" s="306"/>
      <c r="D257" s="367"/>
      <c r="E257" s="370"/>
      <c r="F257" s="406"/>
      <c r="G257" s="376"/>
      <c r="H257" s="379"/>
      <c r="I257" s="382"/>
      <c r="J257" s="382"/>
      <c r="K257" s="385"/>
      <c r="L257" s="388"/>
      <c r="M257" s="391"/>
      <c r="N257" s="393"/>
      <c r="O257" s="396">
        <v>1</v>
      </c>
      <c r="P257" s="399" t="s">
        <v>1297</v>
      </c>
      <c r="Q257" s="402"/>
      <c r="R257" s="361" t="s">
        <v>154</v>
      </c>
      <c r="S257" s="361" t="s">
        <v>154</v>
      </c>
      <c r="T257" s="361" t="s">
        <v>154</v>
      </c>
      <c r="U257" s="361" t="s">
        <v>154</v>
      </c>
      <c r="V257" s="361" t="s">
        <v>154</v>
      </c>
      <c r="W257" s="361" t="s">
        <v>154</v>
      </c>
      <c r="X257" s="361" t="s">
        <v>154</v>
      </c>
      <c r="Y257" s="361" t="s">
        <v>154</v>
      </c>
      <c r="Z257" s="361" t="s">
        <v>154</v>
      </c>
      <c r="AA257" s="361" t="s">
        <v>154</v>
      </c>
      <c r="AB257" s="361" t="s">
        <v>154</v>
      </c>
      <c r="AC257" s="361" t="s">
        <v>154</v>
      </c>
      <c r="AD257" s="361" t="s">
        <v>154</v>
      </c>
      <c r="AE257" s="209"/>
      <c r="AF257" s="220">
        <v>0</v>
      </c>
      <c r="AG257" s="219" t="s">
        <v>308</v>
      </c>
      <c r="AH257" s="219"/>
      <c r="AI257" s="219"/>
      <c r="AJ257" s="219"/>
      <c r="AK257" s="219"/>
      <c r="AL257" s="219"/>
      <c r="AM257" s="219"/>
      <c r="AN257" s="219"/>
      <c r="AO257" s="219"/>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64"/>
      <c r="BM257" s="164"/>
      <c r="BN257" s="165"/>
      <c r="BO257" s="251"/>
      <c r="BP257" s="364" t="s">
        <v>1298</v>
      </c>
      <c r="BQ257" s="364" t="s">
        <v>1298</v>
      </c>
      <c r="BR257" s="364" t="s">
        <v>1298</v>
      </c>
      <c r="BS257" s="250"/>
      <c r="BT257" s="364" t="s">
        <v>1298</v>
      </c>
      <c r="BU257" s="364" t="s">
        <v>1298</v>
      </c>
      <c r="BV257" s="364" t="s">
        <v>1298</v>
      </c>
      <c r="BW257" s="364" t="s">
        <v>1298</v>
      </c>
      <c r="BX257" s="364" t="s">
        <v>1298</v>
      </c>
      <c r="BY257" s="250"/>
    </row>
    <row r="258" spans="3:78" ht="14.25">
      <c r="C258" s="306"/>
      <c r="D258" s="367"/>
      <c r="E258" s="370"/>
      <c r="F258" s="406"/>
      <c r="G258" s="376"/>
      <c r="H258" s="379"/>
      <c r="I258" s="382"/>
      <c r="J258" s="382"/>
      <c r="K258" s="385"/>
      <c r="L258" s="388"/>
      <c r="M258" s="391"/>
      <c r="N258" s="394"/>
      <c r="O258" s="397"/>
      <c r="P258" s="400"/>
      <c r="Q258" s="403"/>
      <c r="R258" s="362"/>
      <c r="S258" s="362"/>
      <c r="T258" s="362"/>
      <c r="U258" s="362"/>
      <c r="V258" s="362"/>
      <c r="W258" s="362"/>
      <c r="X258" s="362"/>
      <c r="Y258" s="362"/>
      <c r="Z258" s="362"/>
      <c r="AA258" s="362"/>
      <c r="AB258" s="362"/>
      <c r="AC258" s="362"/>
      <c r="AD258" s="362"/>
      <c r="AE258" s="193"/>
      <c r="AF258" s="217" t="s">
        <v>268</v>
      </c>
      <c r="AG258" s="158" t="s">
        <v>327</v>
      </c>
      <c r="AH258" s="300" t="s">
        <v>19</v>
      </c>
      <c r="AI258" s="301" t="s">
        <v>154</v>
      </c>
      <c r="AJ258" s="221"/>
      <c r="AK258" s="221"/>
      <c r="AL258" s="221"/>
      <c r="AM258" s="221"/>
      <c r="AN258" s="221"/>
      <c r="AO258" s="221"/>
      <c r="AP258" s="302" t="s">
        <v>19</v>
      </c>
      <c r="AQ258" s="195">
        <f>SUM(AT258,AW258,AZ258,BC258,BF258,BI258,BL258)</f>
        <v>3029.4716220754476</v>
      </c>
      <c r="AR258" s="197">
        <f>SUM(AT258,AX258,BA258,BD258,BG258,BJ258,BM258)</f>
        <v>0</v>
      </c>
      <c r="AS258" s="195">
        <f>AQ258-AR258</f>
        <v>3029.4716220754476</v>
      </c>
      <c r="AT258" s="312"/>
      <c r="AU258" s="312"/>
      <c r="AV258" s="244"/>
      <c r="AW258" s="159">
        <v>151.47358110377252</v>
      </c>
      <c r="AX258" s="312"/>
      <c r="AY258" s="194">
        <f>AW258-AX258</f>
        <v>151.47358110377252</v>
      </c>
      <c r="AZ258" s="160">
        <v>2877.998040971675</v>
      </c>
      <c r="BA258" s="312"/>
      <c r="BB258" s="194">
        <f>AZ258-BA258</f>
        <v>2877.998040971675</v>
      </c>
      <c r="BC258" s="159"/>
      <c r="BD258" s="312"/>
      <c r="BE258" s="194">
        <f>BC258-BD258</f>
        <v>0</v>
      </c>
      <c r="BF258" s="159"/>
      <c r="BG258" s="244"/>
      <c r="BH258" s="194">
        <f>BF258-BG258</f>
        <v>0</v>
      </c>
      <c r="BI258" s="159"/>
      <c r="BJ258" s="244"/>
      <c r="BK258" s="194">
        <f>BI258-BJ258</f>
        <v>0</v>
      </c>
      <c r="BL258" s="312"/>
      <c r="BM258" s="312"/>
      <c r="BN258" s="195">
        <f>BL258-BM258</f>
        <v>0</v>
      </c>
      <c r="BO258" s="251">
        <v>0</v>
      </c>
      <c r="BP258" s="364"/>
      <c r="BQ258" s="364"/>
      <c r="BR258" s="364"/>
      <c r="BS258" s="249" t="str">
        <f>AG258 &amp; BO258</f>
        <v>За счет платы за технологическое присоединение0</v>
      </c>
      <c r="BT258" s="364"/>
      <c r="BU258" s="364"/>
      <c r="BV258" s="364"/>
      <c r="BW258" s="364"/>
      <c r="BX258" s="364"/>
      <c r="BY258" s="249" t="str">
        <f>AG258&amp;AH258</f>
        <v>За счет платы за технологическое присоединениенет</v>
      </c>
      <c r="BZ258" s="250"/>
    </row>
    <row r="259" spans="3:78" ht="14.25">
      <c r="C259" s="97"/>
      <c r="D259" s="367"/>
      <c r="E259" s="370"/>
      <c r="F259" s="406"/>
      <c r="G259" s="376"/>
      <c r="H259" s="379"/>
      <c r="I259" s="382"/>
      <c r="J259" s="382"/>
      <c r="K259" s="385"/>
      <c r="L259" s="388"/>
      <c r="M259" s="391"/>
      <c r="N259" s="394"/>
      <c r="O259" s="397"/>
      <c r="P259" s="400"/>
      <c r="Q259" s="403"/>
      <c r="R259" s="362"/>
      <c r="S259" s="362"/>
      <c r="T259" s="362"/>
      <c r="U259" s="362"/>
      <c r="V259" s="362"/>
      <c r="W259" s="362"/>
      <c r="X259" s="362"/>
      <c r="Y259" s="362"/>
      <c r="Z259" s="362"/>
      <c r="AA259" s="362"/>
      <c r="AB259" s="362"/>
      <c r="AC259" s="362"/>
      <c r="AD259" s="362"/>
      <c r="AE259" s="322" t="s">
        <v>1240</v>
      </c>
      <c r="AF259" s="217" t="s">
        <v>118</v>
      </c>
      <c r="AG259" s="196" t="s">
        <v>223</v>
      </c>
      <c r="AH259" s="302" t="s">
        <v>19</v>
      </c>
      <c r="AI259" s="301" t="s">
        <v>154</v>
      </c>
      <c r="AJ259" s="221"/>
      <c r="AK259" s="221"/>
      <c r="AL259" s="221"/>
      <c r="AM259" s="221"/>
      <c r="AN259" s="221"/>
      <c r="AO259" s="221"/>
      <c r="AP259" s="302" t="s">
        <v>19</v>
      </c>
      <c r="AQ259" s="195">
        <f>SUM(AT259,AW259,AZ259,BC259,BF259,BI259,BL259)</f>
        <v>605.89432441508939</v>
      </c>
      <c r="AR259" s="197">
        <f>SUM(AT259,AX259,BA259,BD259,BG259,BJ259,BM259)</f>
        <v>0</v>
      </c>
      <c r="AS259" s="195">
        <f>AQ259-AR259</f>
        <v>605.89432441508939</v>
      </c>
      <c r="AT259" s="315"/>
      <c r="AU259" s="315"/>
      <c r="AV259" s="241"/>
      <c r="AW259" s="198">
        <f>181.768297324527-AW258</f>
        <v>30.294716220754481</v>
      </c>
      <c r="AX259" s="313"/>
      <c r="AY259" s="199">
        <f>AW259-AX259</f>
        <v>30.294716220754481</v>
      </c>
      <c r="AZ259" s="173">
        <f>3453.59764916601-AZ258</f>
        <v>575.59960819433491</v>
      </c>
      <c r="BA259" s="313"/>
      <c r="BB259" s="199">
        <f>AZ259-BA259</f>
        <v>575.59960819433491</v>
      </c>
      <c r="BC259" s="198"/>
      <c r="BD259" s="313"/>
      <c r="BE259" s="199">
        <f>BC259-BD259</f>
        <v>0</v>
      </c>
      <c r="BF259" s="198"/>
      <c r="BG259" s="241"/>
      <c r="BH259" s="199">
        <f>BF259-BG259</f>
        <v>0</v>
      </c>
      <c r="BI259" s="198"/>
      <c r="BJ259" s="241"/>
      <c r="BK259" s="199">
        <f>BI259-BJ259</f>
        <v>0</v>
      </c>
      <c r="BL259" s="313"/>
      <c r="BM259" s="313"/>
      <c r="BN259" s="195">
        <f>BL259-BM259</f>
        <v>0</v>
      </c>
      <c r="BO259" s="251">
        <v>0</v>
      </c>
      <c r="BP259" s="364"/>
      <c r="BQ259" s="364"/>
      <c r="BR259" s="364"/>
      <c r="BS259" s="249" t="str">
        <f>AG259 &amp; BO259</f>
        <v>Прочие собственные средства0</v>
      </c>
      <c r="BT259" s="364"/>
      <c r="BU259" s="364"/>
      <c r="BV259" s="364"/>
      <c r="BW259" s="364"/>
      <c r="BX259" s="364"/>
      <c r="BY259" s="249" t="str">
        <f>AG259&amp;AH259</f>
        <v>Прочие собственные средстванет</v>
      </c>
      <c r="BZ259" s="250"/>
    </row>
    <row r="260" spans="3:78" ht="15" customHeight="1">
      <c r="C260" s="306"/>
      <c r="D260" s="367"/>
      <c r="E260" s="370"/>
      <c r="F260" s="406"/>
      <c r="G260" s="376"/>
      <c r="H260" s="379"/>
      <c r="I260" s="382"/>
      <c r="J260" s="382"/>
      <c r="K260" s="385"/>
      <c r="L260" s="388"/>
      <c r="M260" s="391"/>
      <c r="N260" s="395"/>
      <c r="O260" s="398"/>
      <c r="P260" s="401"/>
      <c r="Q260" s="404"/>
      <c r="R260" s="363"/>
      <c r="S260" s="363"/>
      <c r="T260" s="363"/>
      <c r="U260" s="363"/>
      <c r="V260" s="363"/>
      <c r="W260" s="363"/>
      <c r="X260" s="363"/>
      <c r="Y260" s="363"/>
      <c r="Z260" s="363"/>
      <c r="AA260" s="363"/>
      <c r="AB260" s="363"/>
      <c r="AC260" s="363"/>
      <c r="AD260" s="363"/>
      <c r="AE260" s="279" t="s">
        <v>379</v>
      </c>
      <c r="AF260" s="203"/>
      <c r="AG260" s="223" t="s">
        <v>24</v>
      </c>
      <c r="AH260" s="223"/>
      <c r="AI260" s="223"/>
      <c r="AJ260" s="223"/>
      <c r="AK260" s="223"/>
      <c r="AL260" s="223"/>
      <c r="AM260" s="223"/>
      <c r="AN260" s="223"/>
      <c r="AO260" s="223"/>
      <c r="AP260" s="168"/>
      <c r="AQ260" s="169"/>
      <c r="AR260" s="169"/>
      <c r="AS260" s="169"/>
      <c r="AT260" s="169"/>
      <c r="AU260" s="169"/>
      <c r="AV260" s="169"/>
      <c r="AW260" s="169"/>
      <c r="AX260" s="169"/>
      <c r="AY260" s="169"/>
      <c r="AZ260" s="169"/>
      <c r="BA260" s="169"/>
      <c r="BB260" s="169"/>
      <c r="BC260" s="169"/>
      <c r="BD260" s="169"/>
      <c r="BE260" s="169"/>
      <c r="BF260" s="169"/>
      <c r="BG260" s="169"/>
      <c r="BH260" s="169"/>
      <c r="BI260" s="169"/>
      <c r="BJ260" s="169"/>
      <c r="BK260" s="169"/>
      <c r="BL260" s="169"/>
      <c r="BM260" s="169"/>
      <c r="BN260" s="170"/>
      <c r="BO260" s="251"/>
      <c r="BP260" s="364"/>
      <c r="BQ260" s="364"/>
      <c r="BR260" s="364"/>
      <c r="BS260" s="250"/>
      <c r="BT260" s="364"/>
      <c r="BU260" s="364"/>
      <c r="BV260" s="364"/>
      <c r="BW260" s="364"/>
      <c r="BX260" s="364"/>
      <c r="BY260" s="250"/>
    </row>
    <row r="261" spans="3:78" ht="15" customHeight="1" thickBot="1">
      <c r="C261" s="307"/>
      <c r="D261" s="368"/>
      <c r="E261" s="371"/>
      <c r="F261" s="407"/>
      <c r="G261" s="377"/>
      <c r="H261" s="380"/>
      <c r="I261" s="383"/>
      <c r="J261" s="383"/>
      <c r="K261" s="386"/>
      <c r="L261" s="389"/>
      <c r="M261" s="392"/>
      <c r="N261" s="280" t="s">
        <v>380</v>
      </c>
      <c r="O261" s="212"/>
      <c r="P261" s="365" t="s">
        <v>154</v>
      </c>
      <c r="Q261" s="365"/>
      <c r="R261" s="171"/>
      <c r="S261" s="171"/>
      <c r="T261" s="166"/>
      <c r="U261" s="166"/>
      <c r="V261" s="166"/>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7"/>
      <c r="BO261" s="251"/>
      <c r="BP261" s="250"/>
      <c r="BQ261" s="250"/>
      <c r="BR261" s="250"/>
      <c r="BS261" s="250"/>
      <c r="BT261" s="250"/>
      <c r="BU261" s="250"/>
      <c r="BY261" s="250"/>
    </row>
    <row r="262" spans="3:78" ht="11.25" customHeight="1">
      <c r="C262" s="97" t="s">
        <v>1240</v>
      </c>
      <c r="D262" s="366" t="s">
        <v>1312</v>
      </c>
      <c r="E262" s="369" t="s">
        <v>212</v>
      </c>
      <c r="F262" s="372" t="s">
        <v>154</v>
      </c>
      <c r="G262" s="375" t="s">
        <v>1313</v>
      </c>
      <c r="H262" s="378" t="s">
        <v>715</v>
      </c>
      <c r="I262" s="381" t="s">
        <v>715</v>
      </c>
      <c r="J262" s="381" t="s">
        <v>716</v>
      </c>
      <c r="K262" s="384">
        <v>1</v>
      </c>
      <c r="L262" s="387" t="s">
        <v>5</v>
      </c>
      <c r="M262" s="390">
        <v>0</v>
      </c>
      <c r="N262" s="163"/>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2"/>
      <c r="BO262" s="251"/>
      <c r="BP262" s="250"/>
      <c r="BQ262" s="250"/>
      <c r="BR262" s="250"/>
      <c r="BS262" s="250"/>
      <c r="BT262" s="250"/>
      <c r="BU262" s="250"/>
      <c r="BY262" s="250"/>
    </row>
    <row r="263" spans="3:78" ht="11.25" customHeight="1">
      <c r="C263" s="306"/>
      <c r="D263" s="367"/>
      <c r="E263" s="370"/>
      <c r="F263" s="373"/>
      <c r="G263" s="376"/>
      <c r="H263" s="379"/>
      <c r="I263" s="382"/>
      <c r="J263" s="382"/>
      <c r="K263" s="385"/>
      <c r="L263" s="388"/>
      <c r="M263" s="391"/>
      <c r="N263" s="393"/>
      <c r="O263" s="396">
        <v>1</v>
      </c>
      <c r="P263" s="399" t="s">
        <v>1297</v>
      </c>
      <c r="Q263" s="402"/>
      <c r="R263" s="361" t="s">
        <v>154</v>
      </c>
      <c r="S263" s="361" t="s">
        <v>154</v>
      </c>
      <c r="T263" s="361" t="s">
        <v>154</v>
      </c>
      <c r="U263" s="361" t="s">
        <v>154</v>
      </c>
      <c r="V263" s="361" t="s">
        <v>154</v>
      </c>
      <c r="W263" s="361" t="s">
        <v>154</v>
      </c>
      <c r="X263" s="361" t="s">
        <v>154</v>
      </c>
      <c r="Y263" s="361" t="s">
        <v>154</v>
      </c>
      <c r="Z263" s="361" t="s">
        <v>154</v>
      </c>
      <c r="AA263" s="361" t="s">
        <v>154</v>
      </c>
      <c r="AB263" s="361" t="s">
        <v>154</v>
      </c>
      <c r="AC263" s="361" t="s">
        <v>154</v>
      </c>
      <c r="AD263" s="361" t="s">
        <v>154</v>
      </c>
      <c r="AE263" s="209"/>
      <c r="AF263" s="220">
        <v>0</v>
      </c>
      <c r="AG263" s="219" t="s">
        <v>308</v>
      </c>
      <c r="AH263" s="219"/>
      <c r="AI263" s="219"/>
      <c r="AJ263" s="219"/>
      <c r="AK263" s="219"/>
      <c r="AL263" s="219"/>
      <c r="AM263" s="219"/>
      <c r="AN263" s="219"/>
      <c r="AO263" s="219"/>
      <c r="AP263" s="164"/>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64"/>
      <c r="BM263" s="164"/>
      <c r="BN263" s="165"/>
      <c r="BO263" s="251"/>
      <c r="BP263" s="364" t="s">
        <v>1298</v>
      </c>
      <c r="BQ263" s="364" t="s">
        <v>1298</v>
      </c>
      <c r="BR263" s="364" t="s">
        <v>1298</v>
      </c>
      <c r="BS263" s="250"/>
      <c r="BT263" s="364" t="s">
        <v>1298</v>
      </c>
      <c r="BU263" s="364" t="s">
        <v>1298</v>
      </c>
      <c r="BV263" s="364" t="s">
        <v>1298</v>
      </c>
      <c r="BW263" s="364" t="s">
        <v>1298</v>
      </c>
      <c r="BX263" s="364" t="s">
        <v>1298</v>
      </c>
      <c r="BY263" s="250"/>
    </row>
    <row r="264" spans="3:78" ht="14.25">
      <c r="C264" s="306"/>
      <c r="D264" s="367"/>
      <c r="E264" s="370"/>
      <c r="F264" s="373"/>
      <c r="G264" s="376"/>
      <c r="H264" s="379"/>
      <c r="I264" s="382"/>
      <c r="J264" s="382"/>
      <c r="K264" s="385"/>
      <c r="L264" s="388"/>
      <c r="M264" s="391"/>
      <c r="N264" s="394"/>
      <c r="O264" s="397"/>
      <c r="P264" s="400"/>
      <c r="Q264" s="403"/>
      <c r="R264" s="362"/>
      <c r="S264" s="362"/>
      <c r="T264" s="362"/>
      <c r="U264" s="362"/>
      <c r="V264" s="362"/>
      <c r="W264" s="362"/>
      <c r="X264" s="362"/>
      <c r="Y264" s="362"/>
      <c r="Z264" s="362"/>
      <c r="AA264" s="362"/>
      <c r="AB264" s="362"/>
      <c r="AC264" s="362"/>
      <c r="AD264" s="362"/>
      <c r="AE264" s="193"/>
      <c r="AF264" s="217" t="s">
        <v>268</v>
      </c>
      <c r="AG264" s="158" t="s">
        <v>240</v>
      </c>
      <c r="AH264" s="300" t="s">
        <v>19</v>
      </c>
      <c r="AI264" s="301" t="s">
        <v>154</v>
      </c>
      <c r="AJ264" s="221"/>
      <c r="AK264" s="221"/>
      <c r="AL264" s="221"/>
      <c r="AM264" s="221"/>
      <c r="AN264" s="221"/>
      <c r="AO264" s="221"/>
      <c r="AP264" s="302" t="s">
        <v>19</v>
      </c>
      <c r="AQ264" s="195">
        <f>SUM(AT264,AW264,AZ264,BC264,BF264,BI264,BL264)</f>
        <v>652.10130701221556</v>
      </c>
      <c r="AR264" s="197">
        <f>SUM(AT264,AX264,BA264,BD264,BG264,BJ264,BM264)</f>
        <v>0</v>
      </c>
      <c r="AS264" s="195">
        <f>AQ264-AR264</f>
        <v>652.10130701221556</v>
      </c>
      <c r="AT264" s="312"/>
      <c r="AU264" s="312"/>
      <c r="AV264" s="244"/>
      <c r="AW264" s="159"/>
      <c r="AX264" s="312"/>
      <c r="AY264" s="194">
        <f>AW264-AX264</f>
        <v>0</v>
      </c>
      <c r="AZ264" s="160"/>
      <c r="BA264" s="312"/>
      <c r="BB264" s="194">
        <f>AZ264-BA264</f>
        <v>0</v>
      </c>
      <c r="BC264" s="159">
        <v>652.10130701221556</v>
      </c>
      <c r="BD264" s="312"/>
      <c r="BE264" s="194">
        <f>BC264-BD264</f>
        <v>652.10130701221556</v>
      </c>
      <c r="BF264" s="159"/>
      <c r="BG264" s="244"/>
      <c r="BH264" s="194">
        <f>BF264-BG264</f>
        <v>0</v>
      </c>
      <c r="BI264" s="159"/>
      <c r="BJ264" s="244"/>
      <c r="BK264" s="194">
        <f>BI264-BJ264</f>
        <v>0</v>
      </c>
      <c r="BL264" s="312"/>
      <c r="BM264" s="312"/>
      <c r="BN264" s="195">
        <f>BL264-BM264</f>
        <v>0</v>
      </c>
      <c r="BO264" s="251">
        <v>0</v>
      </c>
      <c r="BP264" s="364"/>
      <c r="BQ264" s="364"/>
      <c r="BR264" s="364"/>
      <c r="BS264" s="249" t="str">
        <f>AG264 &amp; BO264</f>
        <v>Прибыль направляемая на инвестиции0</v>
      </c>
      <c r="BT264" s="364"/>
      <c r="BU264" s="364"/>
      <c r="BV264" s="364"/>
      <c r="BW264" s="364"/>
      <c r="BX264" s="364"/>
      <c r="BY264" s="249" t="str">
        <f>AG264&amp;AH264</f>
        <v>Прибыль направляемая на инвестициинет</v>
      </c>
      <c r="BZ264" s="250"/>
    </row>
    <row r="265" spans="3:78" ht="14.25">
      <c r="C265" s="97"/>
      <c r="D265" s="367"/>
      <c r="E265" s="370"/>
      <c r="F265" s="373"/>
      <c r="G265" s="376"/>
      <c r="H265" s="379"/>
      <c r="I265" s="382"/>
      <c r="J265" s="382"/>
      <c r="K265" s="385"/>
      <c r="L265" s="388"/>
      <c r="M265" s="391"/>
      <c r="N265" s="394"/>
      <c r="O265" s="397"/>
      <c r="P265" s="400"/>
      <c r="Q265" s="403"/>
      <c r="R265" s="362"/>
      <c r="S265" s="362"/>
      <c r="T265" s="362"/>
      <c r="U265" s="362"/>
      <c r="V265" s="362"/>
      <c r="W265" s="362"/>
      <c r="X265" s="362"/>
      <c r="Y265" s="362"/>
      <c r="Z265" s="362"/>
      <c r="AA265" s="362"/>
      <c r="AB265" s="362"/>
      <c r="AC265" s="362"/>
      <c r="AD265" s="362"/>
      <c r="AE265" s="322" t="s">
        <v>1240</v>
      </c>
      <c r="AF265" s="217" t="s">
        <v>118</v>
      </c>
      <c r="AG265" s="196" t="s">
        <v>223</v>
      </c>
      <c r="AH265" s="302" t="s">
        <v>19</v>
      </c>
      <c r="AI265" s="301" t="s">
        <v>154</v>
      </c>
      <c r="AJ265" s="221"/>
      <c r="AK265" s="221"/>
      <c r="AL265" s="221"/>
      <c r="AM265" s="221"/>
      <c r="AN265" s="221"/>
      <c r="AO265" s="221"/>
      <c r="AP265" s="302" t="s">
        <v>19</v>
      </c>
      <c r="AQ265" s="195">
        <f>SUM(AT265,AW265,AZ265,BC265,BF265,BI265,BL265)</f>
        <v>130.42026140244343</v>
      </c>
      <c r="AR265" s="197">
        <f>SUM(AT265,AX265,BA265,BD265,BG265,BJ265,BM265)</f>
        <v>0</v>
      </c>
      <c r="AS265" s="195">
        <f>AQ265-AR265</f>
        <v>130.42026140244343</v>
      </c>
      <c r="AT265" s="315"/>
      <c r="AU265" s="315"/>
      <c r="AV265" s="241"/>
      <c r="AW265" s="198"/>
      <c r="AX265" s="313"/>
      <c r="AY265" s="199">
        <f>AW265-AX265</f>
        <v>0</v>
      </c>
      <c r="AZ265" s="173"/>
      <c r="BA265" s="313"/>
      <c r="BB265" s="199">
        <f>AZ265-BA265</f>
        <v>0</v>
      </c>
      <c r="BC265" s="198">
        <f>782.521568414659-BC264</f>
        <v>130.42026140244343</v>
      </c>
      <c r="BD265" s="313"/>
      <c r="BE265" s="199">
        <f>BC265-BD265</f>
        <v>130.42026140244343</v>
      </c>
      <c r="BF265" s="198"/>
      <c r="BG265" s="241"/>
      <c r="BH265" s="199">
        <f>BF265-BG265</f>
        <v>0</v>
      </c>
      <c r="BI265" s="198"/>
      <c r="BJ265" s="241"/>
      <c r="BK265" s="199">
        <f>BI265-BJ265</f>
        <v>0</v>
      </c>
      <c r="BL265" s="313"/>
      <c r="BM265" s="313"/>
      <c r="BN265" s="195">
        <f>BL265-BM265</f>
        <v>0</v>
      </c>
      <c r="BO265" s="251">
        <v>0</v>
      </c>
      <c r="BP265" s="364"/>
      <c r="BQ265" s="364"/>
      <c r="BR265" s="364"/>
      <c r="BS265" s="249" t="str">
        <f>AG265 &amp; BO265</f>
        <v>Прочие собственные средства0</v>
      </c>
      <c r="BT265" s="364"/>
      <c r="BU265" s="364"/>
      <c r="BV265" s="364"/>
      <c r="BW265" s="364"/>
      <c r="BX265" s="364"/>
      <c r="BY265" s="249" t="str">
        <f>AG265&amp;AH265</f>
        <v>Прочие собственные средстванет</v>
      </c>
      <c r="BZ265" s="250"/>
    </row>
    <row r="266" spans="3:78" ht="15" customHeight="1">
      <c r="C266" s="306"/>
      <c r="D266" s="367"/>
      <c r="E266" s="370"/>
      <c r="F266" s="373"/>
      <c r="G266" s="376"/>
      <c r="H266" s="379"/>
      <c r="I266" s="382"/>
      <c r="J266" s="382"/>
      <c r="K266" s="385"/>
      <c r="L266" s="388"/>
      <c r="M266" s="391"/>
      <c r="N266" s="395"/>
      <c r="O266" s="398"/>
      <c r="P266" s="401"/>
      <c r="Q266" s="404"/>
      <c r="R266" s="363"/>
      <c r="S266" s="363"/>
      <c r="T266" s="363"/>
      <c r="U266" s="363"/>
      <c r="V266" s="363"/>
      <c r="W266" s="363"/>
      <c r="X266" s="363"/>
      <c r="Y266" s="363"/>
      <c r="Z266" s="363"/>
      <c r="AA266" s="363"/>
      <c r="AB266" s="363"/>
      <c r="AC266" s="363"/>
      <c r="AD266" s="363"/>
      <c r="AE266" s="279" t="s">
        <v>379</v>
      </c>
      <c r="AF266" s="203"/>
      <c r="AG266" s="223" t="s">
        <v>24</v>
      </c>
      <c r="AH266" s="223"/>
      <c r="AI266" s="223"/>
      <c r="AJ266" s="223"/>
      <c r="AK266" s="223"/>
      <c r="AL266" s="223"/>
      <c r="AM266" s="223"/>
      <c r="AN266" s="223"/>
      <c r="AO266" s="223"/>
      <c r="AP266" s="168"/>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70"/>
      <c r="BO266" s="251"/>
      <c r="BP266" s="364"/>
      <c r="BQ266" s="364"/>
      <c r="BR266" s="364"/>
      <c r="BS266" s="250"/>
      <c r="BT266" s="364"/>
      <c r="BU266" s="364"/>
      <c r="BV266" s="364"/>
      <c r="BW266" s="364"/>
      <c r="BX266" s="364"/>
      <c r="BY266" s="250"/>
    </row>
    <row r="267" spans="3:78" ht="15" customHeight="1" thickBot="1">
      <c r="C267" s="307"/>
      <c r="D267" s="368"/>
      <c r="E267" s="371"/>
      <c r="F267" s="374"/>
      <c r="G267" s="377"/>
      <c r="H267" s="380"/>
      <c r="I267" s="383"/>
      <c r="J267" s="383"/>
      <c r="K267" s="386"/>
      <c r="L267" s="389"/>
      <c r="M267" s="392"/>
      <c r="N267" s="280" t="s">
        <v>380</v>
      </c>
      <c r="O267" s="212"/>
      <c r="P267" s="365" t="s">
        <v>154</v>
      </c>
      <c r="Q267" s="365"/>
      <c r="R267" s="171"/>
      <c r="S267" s="171"/>
      <c r="T267" s="166"/>
      <c r="U267" s="166"/>
      <c r="V267" s="166"/>
      <c r="W267" s="166"/>
      <c r="X267" s="166"/>
      <c r="Y267" s="166"/>
      <c r="Z267" s="166"/>
      <c r="AA267" s="166"/>
      <c r="AB267" s="166"/>
      <c r="AC267" s="166"/>
      <c r="AD267" s="166"/>
      <c r="AE267" s="166"/>
      <c r="AF267" s="166"/>
      <c r="AG267" s="166"/>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7"/>
      <c r="BO267" s="251"/>
      <c r="BP267" s="250"/>
      <c r="BQ267" s="250"/>
      <c r="BR267" s="250"/>
      <c r="BS267" s="250"/>
      <c r="BT267" s="250"/>
      <c r="BU267" s="250"/>
      <c r="BY267" s="250"/>
    </row>
    <row r="268" spans="3:78" ht="11.25" customHeight="1">
      <c r="C268" s="97" t="s">
        <v>1240</v>
      </c>
      <c r="D268" s="366" t="s">
        <v>1314</v>
      </c>
      <c r="E268" s="369" t="s">
        <v>199</v>
      </c>
      <c r="F268" s="405" t="s">
        <v>209</v>
      </c>
      <c r="G268" s="375" t="s">
        <v>1471</v>
      </c>
      <c r="H268" s="378" t="s">
        <v>715</v>
      </c>
      <c r="I268" s="381" t="s">
        <v>715</v>
      </c>
      <c r="J268" s="381" t="s">
        <v>716</v>
      </c>
      <c r="K268" s="384">
        <v>1</v>
      </c>
      <c r="L268" s="387" t="s">
        <v>4</v>
      </c>
      <c r="M268" s="390">
        <v>0</v>
      </c>
      <c r="N268" s="163"/>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c r="AX268" s="161"/>
      <c r="AY268" s="161"/>
      <c r="AZ268" s="161"/>
      <c r="BA268" s="161"/>
      <c r="BB268" s="161"/>
      <c r="BC268" s="161"/>
      <c r="BD268" s="161"/>
      <c r="BE268" s="161"/>
      <c r="BF268" s="161"/>
      <c r="BG268" s="161"/>
      <c r="BH268" s="161"/>
      <c r="BI268" s="161"/>
      <c r="BJ268" s="161"/>
      <c r="BK268" s="161"/>
      <c r="BL268" s="161"/>
      <c r="BM268" s="161"/>
      <c r="BN268" s="162"/>
      <c r="BO268" s="251"/>
      <c r="BP268" s="250"/>
      <c r="BQ268" s="250"/>
      <c r="BR268" s="250"/>
      <c r="BS268" s="250"/>
      <c r="BT268" s="250"/>
      <c r="BU268" s="250"/>
      <c r="BY268" s="250"/>
    </row>
    <row r="269" spans="3:78" ht="11.25" customHeight="1">
      <c r="C269" s="306"/>
      <c r="D269" s="367"/>
      <c r="E269" s="370"/>
      <c r="F269" s="406"/>
      <c r="G269" s="376"/>
      <c r="H269" s="379"/>
      <c r="I269" s="382"/>
      <c r="J269" s="382"/>
      <c r="K269" s="385"/>
      <c r="L269" s="388"/>
      <c r="M269" s="391"/>
      <c r="N269" s="393"/>
      <c r="O269" s="396">
        <v>1</v>
      </c>
      <c r="P269" s="399" t="s">
        <v>1297</v>
      </c>
      <c r="Q269" s="402"/>
      <c r="R269" s="361" t="s">
        <v>154</v>
      </c>
      <c r="S269" s="361" t="s">
        <v>154</v>
      </c>
      <c r="T269" s="361" t="s">
        <v>154</v>
      </c>
      <c r="U269" s="361" t="s">
        <v>154</v>
      </c>
      <c r="V269" s="361" t="s">
        <v>154</v>
      </c>
      <c r="W269" s="361" t="s">
        <v>154</v>
      </c>
      <c r="X269" s="361" t="s">
        <v>154</v>
      </c>
      <c r="Y269" s="361" t="s">
        <v>154</v>
      </c>
      <c r="Z269" s="361" t="s">
        <v>154</v>
      </c>
      <c r="AA269" s="361" t="s">
        <v>154</v>
      </c>
      <c r="AB269" s="361" t="s">
        <v>154</v>
      </c>
      <c r="AC269" s="361" t="s">
        <v>154</v>
      </c>
      <c r="AD269" s="361" t="s">
        <v>154</v>
      </c>
      <c r="AE269" s="209"/>
      <c r="AF269" s="220">
        <v>0</v>
      </c>
      <c r="AG269" s="219" t="s">
        <v>308</v>
      </c>
      <c r="AH269" s="219"/>
      <c r="AI269" s="219"/>
      <c r="AJ269" s="219"/>
      <c r="AK269" s="219"/>
      <c r="AL269" s="219"/>
      <c r="AM269" s="219"/>
      <c r="AN269" s="219"/>
      <c r="AO269" s="219"/>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4"/>
      <c r="BM269" s="164"/>
      <c r="BN269" s="165"/>
      <c r="BO269" s="251"/>
      <c r="BP269" s="364" t="s">
        <v>1298</v>
      </c>
      <c r="BQ269" s="364" t="s">
        <v>1298</v>
      </c>
      <c r="BR269" s="364" t="s">
        <v>1298</v>
      </c>
      <c r="BS269" s="250"/>
      <c r="BT269" s="364" t="s">
        <v>1298</v>
      </c>
      <c r="BU269" s="364" t="s">
        <v>1298</v>
      </c>
      <c r="BV269" s="364" t="s">
        <v>1298</v>
      </c>
      <c r="BW269" s="364" t="s">
        <v>1298</v>
      </c>
      <c r="BX269" s="364" t="s">
        <v>1298</v>
      </c>
      <c r="BY269" s="250"/>
    </row>
    <row r="270" spans="3:78" ht="14.25">
      <c r="C270" s="306"/>
      <c r="D270" s="367"/>
      <c r="E270" s="370"/>
      <c r="F270" s="406"/>
      <c r="G270" s="376"/>
      <c r="H270" s="379"/>
      <c r="I270" s="382"/>
      <c r="J270" s="382"/>
      <c r="K270" s="385"/>
      <c r="L270" s="388"/>
      <c r="M270" s="391"/>
      <c r="N270" s="394"/>
      <c r="O270" s="397"/>
      <c r="P270" s="400"/>
      <c r="Q270" s="403"/>
      <c r="R270" s="362"/>
      <c r="S270" s="362"/>
      <c r="T270" s="362"/>
      <c r="U270" s="362"/>
      <c r="V270" s="362"/>
      <c r="W270" s="362"/>
      <c r="X270" s="362"/>
      <c r="Y270" s="362"/>
      <c r="Z270" s="362"/>
      <c r="AA270" s="362"/>
      <c r="AB270" s="362"/>
      <c r="AC270" s="362"/>
      <c r="AD270" s="362"/>
      <c r="AE270" s="193"/>
      <c r="AF270" s="217" t="s">
        <v>268</v>
      </c>
      <c r="AG270" s="158" t="s">
        <v>221</v>
      </c>
      <c r="AH270" s="300" t="s">
        <v>19</v>
      </c>
      <c r="AI270" s="301" t="s">
        <v>154</v>
      </c>
      <c r="AJ270" s="221"/>
      <c r="AK270" s="221"/>
      <c r="AL270" s="221"/>
      <c r="AM270" s="221"/>
      <c r="AN270" s="221"/>
      <c r="AO270" s="221"/>
      <c r="AP270" s="302" t="s">
        <v>19</v>
      </c>
      <c r="AQ270" s="195">
        <f>SUM(AT270,AW270,AZ270,BC270,BF270,BI270,BL270)</f>
        <v>156056.93678418419</v>
      </c>
      <c r="AR270" s="197">
        <f>SUM(AT270,AX270,BA270,BD270,BG270,BJ270,BM270)</f>
        <v>0</v>
      </c>
      <c r="AS270" s="195">
        <f>AQ270-AR270</f>
        <v>156056.93678418419</v>
      </c>
      <c r="AT270" s="312"/>
      <c r="AU270" s="312"/>
      <c r="AV270" s="244"/>
      <c r="AW270" s="159"/>
      <c r="AX270" s="312"/>
      <c r="AY270" s="194">
        <f>AW270-AX270</f>
        <v>0</v>
      </c>
      <c r="AZ270" s="160">
        <v>156056.93678418419</v>
      </c>
      <c r="BA270" s="312"/>
      <c r="BB270" s="194">
        <f>AZ270-BA270</f>
        <v>156056.93678418419</v>
      </c>
      <c r="BC270" s="159"/>
      <c r="BD270" s="312"/>
      <c r="BE270" s="194">
        <f>BC270-BD270</f>
        <v>0</v>
      </c>
      <c r="BF270" s="159"/>
      <c r="BG270" s="244"/>
      <c r="BH270" s="194">
        <f>BF270-BG270</f>
        <v>0</v>
      </c>
      <c r="BI270" s="159"/>
      <c r="BJ270" s="244"/>
      <c r="BK270" s="194">
        <f>BI270-BJ270</f>
        <v>0</v>
      </c>
      <c r="BL270" s="312"/>
      <c r="BM270" s="312"/>
      <c r="BN270" s="195">
        <f>BL270-BM270</f>
        <v>0</v>
      </c>
      <c r="BO270" s="251">
        <v>0</v>
      </c>
      <c r="BP270" s="364"/>
      <c r="BQ270" s="364"/>
      <c r="BR270" s="364"/>
      <c r="BS270" s="249" t="str">
        <f>AG270 &amp; BO270</f>
        <v>Амортизационные отчисления0</v>
      </c>
      <c r="BT270" s="364"/>
      <c r="BU270" s="364"/>
      <c r="BV270" s="364"/>
      <c r="BW270" s="364"/>
      <c r="BX270" s="364"/>
      <c r="BY270" s="249" t="str">
        <f>AG270&amp;AH270</f>
        <v>Амортизационные отчислениянет</v>
      </c>
      <c r="BZ270" s="250"/>
    </row>
    <row r="271" spans="3:78" ht="14.25">
      <c r="C271" s="97"/>
      <c r="D271" s="367"/>
      <c r="E271" s="370"/>
      <c r="F271" s="406"/>
      <c r="G271" s="376"/>
      <c r="H271" s="379"/>
      <c r="I271" s="382"/>
      <c r="J271" s="382"/>
      <c r="K271" s="385"/>
      <c r="L271" s="388"/>
      <c r="M271" s="391"/>
      <c r="N271" s="394"/>
      <c r="O271" s="397"/>
      <c r="P271" s="400"/>
      <c r="Q271" s="403"/>
      <c r="R271" s="362"/>
      <c r="S271" s="362"/>
      <c r="T271" s="362"/>
      <c r="U271" s="362"/>
      <c r="V271" s="362"/>
      <c r="W271" s="362"/>
      <c r="X271" s="362"/>
      <c r="Y271" s="362"/>
      <c r="Z271" s="362"/>
      <c r="AA271" s="362"/>
      <c r="AB271" s="362"/>
      <c r="AC271" s="362"/>
      <c r="AD271" s="362"/>
      <c r="AE271" s="322" t="s">
        <v>1240</v>
      </c>
      <c r="AF271" s="217" t="s">
        <v>118</v>
      </c>
      <c r="AG271" s="196" t="s">
        <v>223</v>
      </c>
      <c r="AH271" s="302" t="s">
        <v>19</v>
      </c>
      <c r="AI271" s="301" t="s">
        <v>154</v>
      </c>
      <c r="AJ271" s="221"/>
      <c r="AK271" s="221"/>
      <c r="AL271" s="221"/>
      <c r="AM271" s="221"/>
      <c r="AN271" s="221"/>
      <c r="AO271" s="221"/>
      <c r="AP271" s="302" t="s">
        <v>19</v>
      </c>
      <c r="AQ271" s="195">
        <f>SUM(AT271,AW271,AZ271,BC271,BF271,BI271,BL271)</f>
        <v>31211.387356836814</v>
      </c>
      <c r="AR271" s="197">
        <f>SUM(AT271,AX271,BA271,BD271,BG271,BJ271,BM271)</f>
        <v>0</v>
      </c>
      <c r="AS271" s="195">
        <f>AQ271-AR271</f>
        <v>31211.387356836814</v>
      </c>
      <c r="AT271" s="315"/>
      <c r="AU271" s="315"/>
      <c r="AV271" s="241"/>
      <c r="AW271" s="198"/>
      <c r="AX271" s="313"/>
      <c r="AY271" s="199">
        <f>AW271-AX271</f>
        <v>0</v>
      </c>
      <c r="AZ271" s="173">
        <f>187268.324141021-AZ270</f>
        <v>31211.387356836814</v>
      </c>
      <c r="BA271" s="313"/>
      <c r="BB271" s="199">
        <f>AZ271-BA271</f>
        <v>31211.387356836814</v>
      </c>
      <c r="BC271" s="198"/>
      <c r="BD271" s="313"/>
      <c r="BE271" s="199">
        <f>BC271-BD271</f>
        <v>0</v>
      </c>
      <c r="BF271" s="198"/>
      <c r="BG271" s="241"/>
      <c r="BH271" s="199">
        <f>BF271-BG271</f>
        <v>0</v>
      </c>
      <c r="BI271" s="198"/>
      <c r="BJ271" s="241"/>
      <c r="BK271" s="199">
        <f>BI271-BJ271</f>
        <v>0</v>
      </c>
      <c r="BL271" s="313"/>
      <c r="BM271" s="313"/>
      <c r="BN271" s="195">
        <f>BL271-BM271</f>
        <v>0</v>
      </c>
      <c r="BO271" s="251">
        <v>0</v>
      </c>
      <c r="BP271" s="364"/>
      <c r="BQ271" s="364"/>
      <c r="BR271" s="364"/>
      <c r="BS271" s="249" t="str">
        <f>AG271 &amp; BO271</f>
        <v>Прочие собственные средства0</v>
      </c>
      <c r="BT271" s="364"/>
      <c r="BU271" s="364"/>
      <c r="BV271" s="364"/>
      <c r="BW271" s="364"/>
      <c r="BX271" s="364"/>
      <c r="BY271" s="249" t="str">
        <f>AG271&amp;AH271</f>
        <v>Прочие собственные средстванет</v>
      </c>
      <c r="BZ271" s="250"/>
    </row>
    <row r="272" spans="3:78" ht="15" customHeight="1">
      <c r="C272" s="306"/>
      <c r="D272" s="367"/>
      <c r="E272" s="370"/>
      <c r="F272" s="406"/>
      <c r="G272" s="376"/>
      <c r="H272" s="379"/>
      <c r="I272" s="382"/>
      <c r="J272" s="382"/>
      <c r="K272" s="385"/>
      <c r="L272" s="388"/>
      <c r="M272" s="391"/>
      <c r="N272" s="395"/>
      <c r="O272" s="398"/>
      <c r="P272" s="401"/>
      <c r="Q272" s="404"/>
      <c r="R272" s="363"/>
      <c r="S272" s="363"/>
      <c r="T272" s="363"/>
      <c r="U272" s="363"/>
      <c r="V272" s="363"/>
      <c r="W272" s="363"/>
      <c r="X272" s="363"/>
      <c r="Y272" s="363"/>
      <c r="Z272" s="363"/>
      <c r="AA272" s="363"/>
      <c r="AB272" s="363"/>
      <c r="AC272" s="363"/>
      <c r="AD272" s="363"/>
      <c r="AE272" s="279" t="s">
        <v>379</v>
      </c>
      <c r="AF272" s="203"/>
      <c r="AG272" s="223" t="s">
        <v>24</v>
      </c>
      <c r="AH272" s="223"/>
      <c r="AI272" s="223"/>
      <c r="AJ272" s="223"/>
      <c r="AK272" s="223"/>
      <c r="AL272" s="223"/>
      <c r="AM272" s="223"/>
      <c r="AN272" s="223"/>
      <c r="AO272" s="223"/>
      <c r="AP272" s="168"/>
      <c r="AQ272" s="169"/>
      <c r="AR272" s="169"/>
      <c r="AS272" s="169"/>
      <c r="AT272" s="169"/>
      <c r="AU272" s="169"/>
      <c r="AV272" s="169"/>
      <c r="AW272" s="169"/>
      <c r="AX272" s="169"/>
      <c r="AY272" s="169"/>
      <c r="AZ272" s="169"/>
      <c r="BA272" s="169"/>
      <c r="BB272" s="169"/>
      <c r="BC272" s="169"/>
      <c r="BD272" s="169"/>
      <c r="BE272" s="169"/>
      <c r="BF272" s="169"/>
      <c r="BG272" s="169"/>
      <c r="BH272" s="169"/>
      <c r="BI272" s="169"/>
      <c r="BJ272" s="169"/>
      <c r="BK272" s="169"/>
      <c r="BL272" s="169"/>
      <c r="BM272" s="169"/>
      <c r="BN272" s="170"/>
      <c r="BO272" s="251"/>
      <c r="BP272" s="364"/>
      <c r="BQ272" s="364"/>
      <c r="BR272" s="364"/>
      <c r="BS272" s="250"/>
      <c r="BT272" s="364"/>
      <c r="BU272" s="364"/>
      <c r="BV272" s="364"/>
      <c r="BW272" s="364"/>
      <c r="BX272" s="364"/>
      <c r="BY272" s="250"/>
    </row>
    <row r="273" spans="3:78" ht="15" customHeight="1" thickBot="1">
      <c r="C273" s="307"/>
      <c r="D273" s="368"/>
      <c r="E273" s="371"/>
      <c r="F273" s="407"/>
      <c r="G273" s="377"/>
      <c r="H273" s="380"/>
      <c r="I273" s="383"/>
      <c r="J273" s="383"/>
      <c r="K273" s="386"/>
      <c r="L273" s="389"/>
      <c r="M273" s="392"/>
      <c r="N273" s="280" t="s">
        <v>380</v>
      </c>
      <c r="O273" s="212"/>
      <c r="P273" s="365" t="s">
        <v>154</v>
      </c>
      <c r="Q273" s="365"/>
      <c r="R273" s="171"/>
      <c r="S273" s="171"/>
      <c r="T273" s="166"/>
      <c r="U273" s="166"/>
      <c r="V273" s="166"/>
      <c r="W273" s="166"/>
      <c r="X273" s="166"/>
      <c r="Y273" s="166"/>
      <c r="Z273" s="166"/>
      <c r="AA273" s="166"/>
      <c r="AB273" s="166"/>
      <c r="AC273" s="166"/>
      <c r="AD273" s="166"/>
      <c r="AE273" s="166"/>
      <c r="AF273" s="166"/>
      <c r="AG273" s="166"/>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7"/>
      <c r="BO273" s="251"/>
      <c r="BP273" s="250"/>
      <c r="BQ273" s="250"/>
      <c r="BR273" s="250"/>
      <c r="BS273" s="250"/>
      <c r="BT273" s="250"/>
      <c r="BU273" s="250"/>
      <c r="BY273" s="250"/>
    </row>
    <row r="274" spans="3:78" ht="11.25" customHeight="1">
      <c r="C274" s="97" t="s">
        <v>1240</v>
      </c>
      <c r="D274" s="366" t="s">
        <v>1315</v>
      </c>
      <c r="E274" s="369" t="s">
        <v>199</v>
      </c>
      <c r="F274" s="405" t="s">
        <v>209</v>
      </c>
      <c r="G274" s="375" t="s">
        <v>1472</v>
      </c>
      <c r="H274" s="378" t="s">
        <v>715</v>
      </c>
      <c r="I274" s="381" t="s">
        <v>715</v>
      </c>
      <c r="J274" s="381" t="s">
        <v>716</v>
      </c>
      <c r="K274" s="384">
        <v>1</v>
      </c>
      <c r="L274" s="387" t="s">
        <v>3</v>
      </c>
      <c r="M274" s="390">
        <v>0</v>
      </c>
      <c r="N274" s="163"/>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2"/>
      <c r="BO274" s="251"/>
      <c r="BP274" s="250"/>
      <c r="BQ274" s="250"/>
      <c r="BR274" s="250"/>
      <c r="BS274" s="250"/>
      <c r="BT274" s="250"/>
      <c r="BU274" s="250"/>
      <c r="BY274" s="250"/>
    </row>
    <row r="275" spans="3:78" ht="11.25" customHeight="1">
      <c r="C275" s="306"/>
      <c r="D275" s="367"/>
      <c r="E275" s="370"/>
      <c r="F275" s="406"/>
      <c r="G275" s="376"/>
      <c r="H275" s="379"/>
      <c r="I275" s="382"/>
      <c r="J275" s="382"/>
      <c r="K275" s="385"/>
      <c r="L275" s="388"/>
      <c r="M275" s="391"/>
      <c r="N275" s="393"/>
      <c r="O275" s="396">
        <v>1</v>
      </c>
      <c r="P275" s="399" t="s">
        <v>1297</v>
      </c>
      <c r="Q275" s="402"/>
      <c r="R275" s="361" t="s">
        <v>154</v>
      </c>
      <c r="S275" s="361" t="s">
        <v>154</v>
      </c>
      <c r="T275" s="361" t="s">
        <v>154</v>
      </c>
      <c r="U275" s="361" t="s">
        <v>154</v>
      </c>
      <c r="V275" s="361" t="s">
        <v>154</v>
      </c>
      <c r="W275" s="361" t="s">
        <v>154</v>
      </c>
      <c r="X275" s="361" t="s">
        <v>154</v>
      </c>
      <c r="Y275" s="361" t="s">
        <v>154</v>
      </c>
      <c r="Z275" s="361" t="s">
        <v>154</v>
      </c>
      <c r="AA275" s="361" t="s">
        <v>154</v>
      </c>
      <c r="AB275" s="361" t="s">
        <v>154</v>
      </c>
      <c r="AC275" s="361" t="s">
        <v>154</v>
      </c>
      <c r="AD275" s="361" t="s">
        <v>154</v>
      </c>
      <c r="AE275" s="209"/>
      <c r="AF275" s="220">
        <v>0</v>
      </c>
      <c r="AG275" s="219" t="s">
        <v>308</v>
      </c>
      <c r="AH275" s="219"/>
      <c r="AI275" s="219"/>
      <c r="AJ275" s="219"/>
      <c r="AK275" s="219"/>
      <c r="AL275" s="219"/>
      <c r="AM275" s="219"/>
      <c r="AN275" s="219"/>
      <c r="AO275" s="219"/>
      <c r="AP275" s="164"/>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64"/>
      <c r="BM275" s="164"/>
      <c r="BN275" s="165"/>
      <c r="BO275" s="251"/>
      <c r="BP275" s="364" t="s">
        <v>1298</v>
      </c>
      <c r="BQ275" s="364" t="s">
        <v>1298</v>
      </c>
      <c r="BR275" s="364" t="s">
        <v>1298</v>
      </c>
      <c r="BS275" s="250"/>
      <c r="BT275" s="364" t="s">
        <v>1298</v>
      </c>
      <c r="BU275" s="364" t="s">
        <v>1298</v>
      </c>
      <c r="BV275" s="364" t="s">
        <v>1298</v>
      </c>
      <c r="BW275" s="364" t="s">
        <v>1298</v>
      </c>
      <c r="BX275" s="364" t="s">
        <v>1298</v>
      </c>
      <c r="BY275" s="250"/>
    </row>
    <row r="276" spans="3:78" ht="14.25">
      <c r="C276" s="306"/>
      <c r="D276" s="367"/>
      <c r="E276" s="370"/>
      <c r="F276" s="406"/>
      <c r="G276" s="376"/>
      <c r="H276" s="379"/>
      <c r="I276" s="382"/>
      <c r="J276" s="382"/>
      <c r="K276" s="385"/>
      <c r="L276" s="388"/>
      <c r="M276" s="391"/>
      <c r="N276" s="394"/>
      <c r="O276" s="397"/>
      <c r="P276" s="400"/>
      <c r="Q276" s="403"/>
      <c r="R276" s="362"/>
      <c r="S276" s="362"/>
      <c r="T276" s="362"/>
      <c r="U276" s="362"/>
      <c r="V276" s="362"/>
      <c r="W276" s="362"/>
      <c r="X276" s="362"/>
      <c r="Y276" s="362"/>
      <c r="Z276" s="362"/>
      <c r="AA276" s="362"/>
      <c r="AB276" s="362"/>
      <c r="AC276" s="362"/>
      <c r="AD276" s="362"/>
      <c r="AE276" s="193"/>
      <c r="AF276" s="217" t="s">
        <v>268</v>
      </c>
      <c r="AG276" s="158" t="s">
        <v>221</v>
      </c>
      <c r="AH276" s="300" t="s">
        <v>19</v>
      </c>
      <c r="AI276" s="301" t="s">
        <v>154</v>
      </c>
      <c r="AJ276" s="221"/>
      <c r="AK276" s="221"/>
      <c r="AL276" s="221"/>
      <c r="AM276" s="221"/>
      <c r="AN276" s="221"/>
      <c r="AO276" s="221"/>
      <c r="AP276" s="302" t="s">
        <v>19</v>
      </c>
      <c r="AQ276" s="195">
        <f>SUM(AT276,AW276,AZ276,BC276,BF276,BI276,BL276)</f>
        <v>144737.97911320082</v>
      </c>
      <c r="AR276" s="197">
        <f>SUM(AT276,AX276,BA276,BD276,BG276,BJ276,BM276)</f>
        <v>0</v>
      </c>
      <c r="AS276" s="195">
        <f>AQ276-AR276</f>
        <v>144737.97911320082</v>
      </c>
      <c r="AT276" s="312"/>
      <c r="AU276" s="312"/>
      <c r="AV276" s="244"/>
      <c r="AW276" s="159">
        <v>144737.97911320082</v>
      </c>
      <c r="AX276" s="312"/>
      <c r="AY276" s="194">
        <f>AW276-AX276</f>
        <v>144737.97911320082</v>
      </c>
      <c r="AZ276" s="160"/>
      <c r="BA276" s="312"/>
      <c r="BB276" s="194">
        <f>AZ276-BA276</f>
        <v>0</v>
      </c>
      <c r="BC276" s="159"/>
      <c r="BD276" s="312"/>
      <c r="BE276" s="194">
        <f>BC276-BD276</f>
        <v>0</v>
      </c>
      <c r="BF276" s="159"/>
      <c r="BG276" s="244"/>
      <c r="BH276" s="194">
        <f>BF276-BG276</f>
        <v>0</v>
      </c>
      <c r="BI276" s="159"/>
      <c r="BJ276" s="244"/>
      <c r="BK276" s="194">
        <f>BI276-BJ276</f>
        <v>0</v>
      </c>
      <c r="BL276" s="312"/>
      <c r="BM276" s="312"/>
      <c r="BN276" s="195">
        <f>BL276-BM276</f>
        <v>0</v>
      </c>
      <c r="BO276" s="251">
        <v>0</v>
      </c>
      <c r="BP276" s="364"/>
      <c r="BQ276" s="364"/>
      <c r="BR276" s="364"/>
      <c r="BS276" s="249" t="str">
        <f>AG276 &amp; BO276</f>
        <v>Амортизационные отчисления0</v>
      </c>
      <c r="BT276" s="364"/>
      <c r="BU276" s="364"/>
      <c r="BV276" s="364"/>
      <c r="BW276" s="364"/>
      <c r="BX276" s="364"/>
      <c r="BY276" s="249" t="str">
        <f>AG276&amp;AH276</f>
        <v>Амортизационные отчислениянет</v>
      </c>
      <c r="BZ276" s="250"/>
    </row>
    <row r="277" spans="3:78" ht="14.25">
      <c r="C277" s="97"/>
      <c r="D277" s="367"/>
      <c r="E277" s="370"/>
      <c r="F277" s="406"/>
      <c r="G277" s="376"/>
      <c r="H277" s="379"/>
      <c r="I277" s="382"/>
      <c r="J277" s="382"/>
      <c r="K277" s="385"/>
      <c r="L277" s="388"/>
      <c r="M277" s="391"/>
      <c r="N277" s="394"/>
      <c r="O277" s="397"/>
      <c r="P277" s="400"/>
      <c r="Q277" s="403"/>
      <c r="R277" s="362"/>
      <c r="S277" s="362"/>
      <c r="T277" s="362"/>
      <c r="U277" s="362"/>
      <c r="V277" s="362"/>
      <c r="W277" s="362"/>
      <c r="X277" s="362"/>
      <c r="Y277" s="362"/>
      <c r="Z277" s="362"/>
      <c r="AA277" s="362"/>
      <c r="AB277" s="362"/>
      <c r="AC277" s="362"/>
      <c r="AD277" s="362"/>
      <c r="AE277" s="322" t="s">
        <v>1240</v>
      </c>
      <c r="AF277" s="217" t="s">
        <v>118</v>
      </c>
      <c r="AG277" s="196" t="s">
        <v>223</v>
      </c>
      <c r="AH277" s="302" t="s">
        <v>19</v>
      </c>
      <c r="AI277" s="301" t="s">
        <v>154</v>
      </c>
      <c r="AJ277" s="221"/>
      <c r="AK277" s="221"/>
      <c r="AL277" s="221"/>
      <c r="AM277" s="221"/>
      <c r="AN277" s="221"/>
      <c r="AO277" s="221"/>
      <c r="AP277" s="302" t="s">
        <v>19</v>
      </c>
      <c r="AQ277" s="195">
        <f>SUM(AT277,AW277,AZ277,BC277,BF277,BI277,BL277)</f>
        <v>28947.595822640171</v>
      </c>
      <c r="AR277" s="197">
        <f>SUM(AT277,AX277,BA277,BD277,BG277,BJ277,BM277)</f>
        <v>0</v>
      </c>
      <c r="AS277" s="195">
        <f>AQ277-AR277</f>
        <v>28947.595822640171</v>
      </c>
      <c r="AT277" s="315"/>
      <c r="AU277" s="315"/>
      <c r="AV277" s="241"/>
      <c r="AW277" s="198">
        <f>173685.574935841-AW276</f>
        <v>28947.595822640171</v>
      </c>
      <c r="AX277" s="313"/>
      <c r="AY277" s="199">
        <f>AW277-AX277</f>
        <v>28947.595822640171</v>
      </c>
      <c r="AZ277" s="173"/>
      <c r="BA277" s="313"/>
      <c r="BB277" s="199">
        <f>AZ277-BA277</f>
        <v>0</v>
      </c>
      <c r="BC277" s="198"/>
      <c r="BD277" s="313"/>
      <c r="BE277" s="199">
        <f>BC277-BD277</f>
        <v>0</v>
      </c>
      <c r="BF277" s="198"/>
      <c r="BG277" s="241"/>
      <c r="BH277" s="199">
        <f>BF277-BG277</f>
        <v>0</v>
      </c>
      <c r="BI277" s="198"/>
      <c r="BJ277" s="241"/>
      <c r="BK277" s="199">
        <f>BI277-BJ277</f>
        <v>0</v>
      </c>
      <c r="BL277" s="313"/>
      <c r="BM277" s="313"/>
      <c r="BN277" s="195">
        <f>BL277-BM277</f>
        <v>0</v>
      </c>
      <c r="BO277" s="251">
        <v>0</v>
      </c>
      <c r="BP277" s="364"/>
      <c r="BQ277" s="364"/>
      <c r="BR277" s="364"/>
      <c r="BS277" s="249" t="str">
        <f>AG277 &amp; BO277</f>
        <v>Прочие собственные средства0</v>
      </c>
      <c r="BT277" s="364"/>
      <c r="BU277" s="364"/>
      <c r="BV277" s="364"/>
      <c r="BW277" s="364"/>
      <c r="BX277" s="364"/>
      <c r="BY277" s="249" t="str">
        <f>AG277&amp;AH277</f>
        <v>Прочие собственные средстванет</v>
      </c>
      <c r="BZ277" s="250"/>
    </row>
    <row r="278" spans="3:78" ht="15" customHeight="1">
      <c r="C278" s="306"/>
      <c r="D278" s="367"/>
      <c r="E278" s="370"/>
      <c r="F278" s="406"/>
      <c r="G278" s="376"/>
      <c r="H278" s="379"/>
      <c r="I278" s="382"/>
      <c r="J278" s="382"/>
      <c r="K278" s="385"/>
      <c r="L278" s="388"/>
      <c r="M278" s="391"/>
      <c r="N278" s="395"/>
      <c r="O278" s="398"/>
      <c r="P278" s="401"/>
      <c r="Q278" s="404"/>
      <c r="R278" s="363"/>
      <c r="S278" s="363"/>
      <c r="T278" s="363"/>
      <c r="U278" s="363"/>
      <c r="V278" s="363"/>
      <c r="W278" s="363"/>
      <c r="X278" s="363"/>
      <c r="Y278" s="363"/>
      <c r="Z278" s="363"/>
      <c r="AA278" s="363"/>
      <c r="AB278" s="363"/>
      <c r="AC278" s="363"/>
      <c r="AD278" s="363"/>
      <c r="AE278" s="279" t="s">
        <v>379</v>
      </c>
      <c r="AF278" s="203"/>
      <c r="AG278" s="223" t="s">
        <v>24</v>
      </c>
      <c r="AH278" s="223"/>
      <c r="AI278" s="223"/>
      <c r="AJ278" s="223"/>
      <c r="AK278" s="223"/>
      <c r="AL278" s="223"/>
      <c r="AM278" s="223"/>
      <c r="AN278" s="223"/>
      <c r="AO278" s="223"/>
      <c r="AP278" s="168"/>
      <c r="AQ278" s="169"/>
      <c r="AR278" s="169"/>
      <c r="AS278" s="169"/>
      <c r="AT278" s="169"/>
      <c r="AU278" s="169"/>
      <c r="AV278" s="169"/>
      <c r="AW278" s="169"/>
      <c r="AX278" s="169"/>
      <c r="AY278" s="169"/>
      <c r="AZ278" s="169"/>
      <c r="BA278" s="169"/>
      <c r="BB278" s="169"/>
      <c r="BC278" s="169"/>
      <c r="BD278" s="169"/>
      <c r="BE278" s="169"/>
      <c r="BF278" s="169"/>
      <c r="BG278" s="169"/>
      <c r="BH278" s="169"/>
      <c r="BI278" s="169"/>
      <c r="BJ278" s="169"/>
      <c r="BK278" s="169"/>
      <c r="BL278" s="169"/>
      <c r="BM278" s="169"/>
      <c r="BN278" s="170"/>
      <c r="BO278" s="251"/>
      <c r="BP278" s="364"/>
      <c r="BQ278" s="364"/>
      <c r="BR278" s="364"/>
      <c r="BS278" s="250"/>
      <c r="BT278" s="364"/>
      <c r="BU278" s="364"/>
      <c r="BV278" s="364"/>
      <c r="BW278" s="364"/>
      <c r="BX278" s="364"/>
      <c r="BY278" s="250"/>
    </row>
    <row r="279" spans="3:78" ht="15" customHeight="1" thickBot="1">
      <c r="C279" s="307"/>
      <c r="D279" s="368"/>
      <c r="E279" s="371"/>
      <c r="F279" s="407"/>
      <c r="G279" s="377"/>
      <c r="H279" s="380"/>
      <c r="I279" s="383"/>
      <c r="J279" s="383"/>
      <c r="K279" s="386"/>
      <c r="L279" s="389"/>
      <c r="M279" s="392"/>
      <c r="N279" s="280" t="s">
        <v>380</v>
      </c>
      <c r="O279" s="212"/>
      <c r="P279" s="365" t="s">
        <v>154</v>
      </c>
      <c r="Q279" s="365"/>
      <c r="R279" s="171"/>
      <c r="S279" s="171"/>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7"/>
      <c r="BO279" s="251"/>
      <c r="BP279" s="250"/>
      <c r="BQ279" s="250"/>
      <c r="BR279" s="250"/>
      <c r="BS279" s="250"/>
      <c r="BT279" s="250"/>
      <c r="BU279" s="250"/>
      <c r="BY279" s="250"/>
    </row>
    <row r="280" spans="3:78" ht="11.25" customHeight="1">
      <c r="C280" s="97" t="s">
        <v>1240</v>
      </c>
      <c r="D280" s="366" t="s">
        <v>1316</v>
      </c>
      <c r="E280" s="369" t="s">
        <v>199</v>
      </c>
      <c r="F280" s="405" t="s">
        <v>209</v>
      </c>
      <c r="G280" s="375" t="s">
        <v>1326</v>
      </c>
      <c r="H280" s="378" t="s">
        <v>715</v>
      </c>
      <c r="I280" s="381" t="s">
        <v>715</v>
      </c>
      <c r="J280" s="381" t="s">
        <v>716</v>
      </c>
      <c r="K280" s="384">
        <v>1</v>
      </c>
      <c r="L280" s="387" t="s">
        <v>3</v>
      </c>
      <c r="M280" s="390">
        <v>0</v>
      </c>
      <c r="N280" s="163"/>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c r="AX280" s="161"/>
      <c r="AY280" s="161"/>
      <c r="AZ280" s="161"/>
      <c r="BA280" s="161"/>
      <c r="BB280" s="161"/>
      <c r="BC280" s="161"/>
      <c r="BD280" s="161"/>
      <c r="BE280" s="161"/>
      <c r="BF280" s="161"/>
      <c r="BG280" s="161"/>
      <c r="BH280" s="161"/>
      <c r="BI280" s="161"/>
      <c r="BJ280" s="161"/>
      <c r="BK280" s="161"/>
      <c r="BL280" s="161"/>
      <c r="BM280" s="161"/>
      <c r="BN280" s="162"/>
      <c r="BO280" s="251"/>
      <c r="BP280" s="250"/>
      <c r="BQ280" s="250"/>
      <c r="BR280" s="250"/>
      <c r="BS280" s="250"/>
      <c r="BT280" s="250"/>
      <c r="BU280" s="250"/>
      <c r="BY280" s="250"/>
    </row>
    <row r="281" spans="3:78" ht="11.25" customHeight="1">
      <c r="C281" s="306"/>
      <c r="D281" s="367"/>
      <c r="E281" s="370"/>
      <c r="F281" s="406"/>
      <c r="G281" s="376"/>
      <c r="H281" s="379"/>
      <c r="I281" s="382"/>
      <c r="J281" s="382"/>
      <c r="K281" s="385"/>
      <c r="L281" s="388"/>
      <c r="M281" s="391"/>
      <c r="N281" s="393"/>
      <c r="O281" s="396">
        <v>1</v>
      </c>
      <c r="P281" s="399" t="s">
        <v>1297</v>
      </c>
      <c r="Q281" s="402"/>
      <c r="R281" s="361" t="s">
        <v>154</v>
      </c>
      <c r="S281" s="361" t="s">
        <v>154</v>
      </c>
      <c r="T281" s="361" t="s">
        <v>154</v>
      </c>
      <c r="U281" s="361" t="s">
        <v>154</v>
      </c>
      <c r="V281" s="361" t="s">
        <v>154</v>
      </c>
      <c r="W281" s="361" t="s">
        <v>154</v>
      </c>
      <c r="X281" s="361" t="s">
        <v>154</v>
      </c>
      <c r="Y281" s="361" t="s">
        <v>154</v>
      </c>
      <c r="Z281" s="361" t="s">
        <v>154</v>
      </c>
      <c r="AA281" s="361" t="s">
        <v>154</v>
      </c>
      <c r="AB281" s="361" t="s">
        <v>154</v>
      </c>
      <c r="AC281" s="361" t="s">
        <v>154</v>
      </c>
      <c r="AD281" s="361" t="s">
        <v>154</v>
      </c>
      <c r="AE281" s="209"/>
      <c r="AF281" s="220">
        <v>0</v>
      </c>
      <c r="AG281" s="219" t="s">
        <v>308</v>
      </c>
      <c r="AH281" s="219"/>
      <c r="AI281" s="219"/>
      <c r="AJ281" s="219"/>
      <c r="AK281" s="219"/>
      <c r="AL281" s="219"/>
      <c r="AM281" s="219"/>
      <c r="AN281" s="219"/>
      <c r="AO281" s="219"/>
      <c r="AP281" s="164"/>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64"/>
      <c r="BM281" s="164"/>
      <c r="BN281" s="165"/>
      <c r="BO281" s="251"/>
      <c r="BP281" s="364" t="s">
        <v>1298</v>
      </c>
      <c r="BQ281" s="364" t="s">
        <v>1298</v>
      </c>
      <c r="BR281" s="364" t="s">
        <v>1298</v>
      </c>
      <c r="BS281" s="250"/>
      <c r="BT281" s="364" t="s">
        <v>1298</v>
      </c>
      <c r="BU281" s="364" t="s">
        <v>1298</v>
      </c>
      <c r="BV281" s="364" t="s">
        <v>1298</v>
      </c>
      <c r="BW281" s="364" t="s">
        <v>1298</v>
      </c>
      <c r="BX281" s="364" t="s">
        <v>1298</v>
      </c>
      <c r="BY281" s="250"/>
    </row>
    <row r="282" spans="3:78" ht="14.25">
      <c r="C282" s="306"/>
      <c r="D282" s="367"/>
      <c r="E282" s="370"/>
      <c r="F282" s="406"/>
      <c r="G282" s="376"/>
      <c r="H282" s="379"/>
      <c r="I282" s="382"/>
      <c r="J282" s="382"/>
      <c r="K282" s="385"/>
      <c r="L282" s="388"/>
      <c r="M282" s="391"/>
      <c r="N282" s="394"/>
      <c r="O282" s="397"/>
      <c r="P282" s="400"/>
      <c r="Q282" s="403"/>
      <c r="R282" s="362"/>
      <c r="S282" s="362"/>
      <c r="T282" s="362"/>
      <c r="U282" s="362"/>
      <c r="V282" s="362"/>
      <c r="W282" s="362"/>
      <c r="X282" s="362"/>
      <c r="Y282" s="362"/>
      <c r="Z282" s="362"/>
      <c r="AA282" s="362"/>
      <c r="AB282" s="362"/>
      <c r="AC282" s="362"/>
      <c r="AD282" s="362"/>
      <c r="AE282" s="193"/>
      <c r="AF282" s="217" t="s">
        <v>268</v>
      </c>
      <c r="AG282" s="158" t="s">
        <v>221</v>
      </c>
      <c r="AH282" s="300" t="s">
        <v>19</v>
      </c>
      <c r="AI282" s="301" t="s">
        <v>154</v>
      </c>
      <c r="AJ282" s="221"/>
      <c r="AK282" s="221"/>
      <c r="AL282" s="221"/>
      <c r="AM282" s="221"/>
      <c r="AN282" s="221"/>
      <c r="AO282" s="221"/>
      <c r="AP282" s="302" t="s">
        <v>19</v>
      </c>
      <c r="AQ282" s="195">
        <f>SUM(AT282,AW282,AZ282,BC282,BF282,BI282,BL282)</f>
        <v>101843.43739449167</v>
      </c>
      <c r="AR282" s="197">
        <f>SUM(AT282,AX282,BA282,BD282,BG282,BJ282,BM282)</f>
        <v>0</v>
      </c>
      <c r="AS282" s="195">
        <f>AQ282-AR282</f>
        <v>101843.43739449167</v>
      </c>
      <c r="AT282" s="312"/>
      <c r="AU282" s="312"/>
      <c r="AV282" s="244"/>
      <c r="AW282" s="159">
        <v>101843.43739449167</v>
      </c>
      <c r="AX282" s="312"/>
      <c r="AY282" s="194">
        <f>AW282-AX282</f>
        <v>101843.43739449167</v>
      </c>
      <c r="AZ282" s="160"/>
      <c r="BA282" s="312"/>
      <c r="BB282" s="194">
        <f>AZ282-BA282</f>
        <v>0</v>
      </c>
      <c r="BC282" s="159"/>
      <c r="BD282" s="312"/>
      <c r="BE282" s="194">
        <f>BC282-BD282</f>
        <v>0</v>
      </c>
      <c r="BF282" s="159"/>
      <c r="BG282" s="244"/>
      <c r="BH282" s="194">
        <f>BF282-BG282</f>
        <v>0</v>
      </c>
      <c r="BI282" s="159"/>
      <c r="BJ282" s="244"/>
      <c r="BK282" s="194">
        <f>BI282-BJ282</f>
        <v>0</v>
      </c>
      <c r="BL282" s="312"/>
      <c r="BM282" s="312"/>
      <c r="BN282" s="195">
        <f>BL282-BM282</f>
        <v>0</v>
      </c>
      <c r="BO282" s="251">
        <v>0</v>
      </c>
      <c r="BP282" s="364"/>
      <c r="BQ282" s="364"/>
      <c r="BR282" s="364"/>
      <c r="BS282" s="249" t="str">
        <f>AG282 &amp; BO282</f>
        <v>Амортизационные отчисления0</v>
      </c>
      <c r="BT282" s="364"/>
      <c r="BU282" s="364"/>
      <c r="BV282" s="364"/>
      <c r="BW282" s="364"/>
      <c r="BX282" s="364"/>
      <c r="BY282" s="249" t="str">
        <f>AG282&amp;AH282</f>
        <v>Амортизационные отчислениянет</v>
      </c>
      <c r="BZ282" s="250"/>
    </row>
    <row r="283" spans="3:78" ht="14.25">
      <c r="C283" s="97"/>
      <c r="D283" s="367"/>
      <c r="E283" s="370"/>
      <c r="F283" s="406"/>
      <c r="G283" s="376"/>
      <c r="H283" s="379"/>
      <c r="I283" s="382"/>
      <c r="J283" s="382"/>
      <c r="K283" s="385"/>
      <c r="L283" s="388"/>
      <c r="M283" s="391"/>
      <c r="N283" s="394"/>
      <c r="O283" s="397"/>
      <c r="P283" s="400"/>
      <c r="Q283" s="403"/>
      <c r="R283" s="362"/>
      <c r="S283" s="362"/>
      <c r="T283" s="362"/>
      <c r="U283" s="362"/>
      <c r="V283" s="362"/>
      <c r="W283" s="362"/>
      <c r="X283" s="362"/>
      <c r="Y283" s="362"/>
      <c r="Z283" s="362"/>
      <c r="AA283" s="362"/>
      <c r="AB283" s="362"/>
      <c r="AC283" s="362"/>
      <c r="AD283" s="362"/>
      <c r="AE283" s="322" t="s">
        <v>1240</v>
      </c>
      <c r="AF283" s="217" t="s">
        <v>118</v>
      </c>
      <c r="AG283" s="196" t="s">
        <v>223</v>
      </c>
      <c r="AH283" s="302" t="s">
        <v>19</v>
      </c>
      <c r="AI283" s="301" t="s">
        <v>154</v>
      </c>
      <c r="AJ283" s="221"/>
      <c r="AK283" s="221"/>
      <c r="AL283" s="221"/>
      <c r="AM283" s="221"/>
      <c r="AN283" s="221"/>
      <c r="AO283" s="221"/>
      <c r="AP283" s="302" t="s">
        <v>19</v>
      </c>
      <c r="AQ283" s="195">
        <f>SUM(AT283,AW283,AZ283,BC283,BF283,BI283,BL283)</f>
        <v>20368.687478898326</v>
      </c>
      <c r="AR283" s="197">
        <f>SUM(AT283,AX283,BA283,BD283,BG283,BJ283,BM283)</f>
        <v>0</v>
      </c>
      <c r="AS283" s="195">
        <f>AQ283-AR283</f>
        <v>20368.687478898326</v>
      </c>
      <c r="AT283" s="315"/>
      <c r="AU283" s="315"/>
      <c r="AV283" s="241"/>
      <c r="AW283" s="198">
        <f>122212.12487339-AW282</f>
        <v>20368.687478898326</v>
      </c>
      <c r="AX283" s="313"/>
      <c r="AY283" s="199">
        <f>AW283-AX283</f>
        <v>20368.687478898326</v>
      </c>
      <c r="AZ283" s="173"/>
      <c r="BA283" s="313"/>
      <c r="BB283" s="199">
        <f>AZ283-BA283</f>
        <v>0</v>
      </c>
      <c r="BC283" s="198"/>
      <c r="BD283" s="313"/>
      <c r="BE283" s="199">
        <f>BC283-BD283</f>
        <v>0</v>
      </c>
      <c r="BF283" s="198"/>
      <c r="BG283" s="241"/>
      <c r="BH283" s="199">
        <f>BF283-BG283</f>
        <v>0</v>
      </c>
      <c r="BI283" s="198"/>
      <c r="BJ283" s="241"/>
      <c r="BK283" s="199">
        <f>BI283-BJ283</f>
        <v>0</v>
      </c>
      <c r="BL283" s="313"/>
      <c r="BM283" s="313"/>
      <c r="BN283" s="195">
        <f>BL283-BM283</f>
        <v>0</v>
      </c>
      <c r="BO283" s="251">
        <v>0</v>
      </c>
      <c r="BP283" s="364"/>
      <c r="BQ283" s="364"/>
      <c r="BR283" s="364"/>
      <c r="BS283" s="249" t="str">
        <f>AG283 &amp; BO283</f>
        <v>Прочие собственные средства0</v>
      </c>
      <c r="BT283" s="364"/>
      <c r="BU283" s="364"/>
      <c r="BV283" s="364"/>
      <c r="BW283" s="364"/>
      <c r="BX283" s="364"/>
      <c r="BY283" s="249" t="str">
        <f>AG283&amp;AH283</f>
        <v>Прочие собственные средстванет</v>
      </c>
      <c r="BZ283" s="250"/>
    </row>
    <row r="284" spans="3:78" ht="15" customHeight="1">
      <c r="C284" s="306"/>
      <c r="D284" s="367"/>
      <c r="E284" s="370"/>
      <c r="F284" s="406"/>
      <c r="G284" s="376"/>
      <c r="H284" s="379"/>
      <c r="I284" s="382"/>
      <c r="J284" s="382"/>
      <c r="K284" s="385"/>
      <c r="L284" s="388"/>
      <c r="M284" s="391"/>
      <c r="N284" s="395"/>
      <c r="O284" s="398"/>
      <c r="P284" s="401"/>
      <c r="Q284" s="404"/>
      <c r="R284" s="363"/>
      <c r="S284" s="363"/>
      <c r="T284" s="363"/>
      <c r="U284" s="363"/>
      <c r="V284" s="363"/>
      <c r="W284" s="363"/>
      <c r="X284" s="363"/>
      <c r="Y284" s="363"/>
      <c r="Z284" s="363"/>
      <c r="AA284" s="363"/>
      <c r="AB284" s="363"/>
      <c r="AC284" s="363"/>
      <c r="AD284" s="363"/>
      <c r="AE284" s="279" t="s">
        <v>379</v>
      </c>
      <c r="AF284" s="203"/>
      <c r="AG284" s="223" t="s">
        <v>24</v>
      </c>
      <c r="AH284" s="223"/>
      <c r="AI284" s="223"/>
      <c r="AJ284" s="223"/>
      <c r="AK284" s="223"/>
      <c r="AL284" s="223"/>
      <c r="AM284" s="223"/>
      <c r="AN284" s="223"/>
      <c r="AO284" s="223"/>
      <c r="AP284" s="168"/>
      <c r="AQ284" s="169"/>
      <c r="AR284" s="169"/>
      <c r="AS284" s="169"/>
      <c r="AT284" s="169"/>
      <c r="AU284" s="169"/>
      <c r="AV284" s="169"/>
      <c r="AW284" s="169"/>
      <c r="AX284" s="169"/>
      <c r="AY284" s="169"/>
      <c r="AZ284" s="169"/>
      <c r="BA284" s="169"/>
      <c r="BB284" s="169"/>
      <c r="BC284" s="169"/>
      <c r="BD284" s="169"/>
      <c r="BE284" s="169"/>
      <c r="BF284" s="169"/>
      <c r="BG284" s="169"/>
      <c r="BH284" s="169"/>
      <c r="BI284" s="169"/>
      <c r="BJ284" s="169"/>
      <c r="BK284" s="169"/>
      <c r="BL284" s="169"/>
      <c r="BM284" s="169"/>
      <c r="BN284" s="170"/>
      <c r="BO284" s="251"/>
      <c r="BP284" s="364"/>
      <c r="BQ284" s="364"/>
      <c r="BR284" s="364"/>
      <c r="BS284" s="250"/>
      <c r="BT284" s="364"/>
      <c r="BU284" s="364"/>
      <c r="BV284" s="364"/>
      <c r="BW284" s="364"/>
      <c r="BX284" s="364"/>
      <c r="BY284" s="250"/>
    </row>
    <row r="285" spans="3:78" ht="15" customHeight="1" thickBot="1">
      <c r="C285" s="307"/>
      <c r="D285" s="368"/>
      <c r="E285" s="371"/>
      <c r="F285" s="407"/>
      <c r="G285" s="377"/>
      <c r="H285" s="380"/>
      <c r="I285" s="383"/>
      <c r="J285" s="383"/>
      <c r="K285" s="386"/>
      <c r="L285" s="389"/>
      <c r="M285" s="392"/>
      <c r="N285" s="280" t="s">
        <v>380</v>
      </c>
      <c r="O285" s="212"/>
      <c r="P285" s="365" t="s">
        <v>154</v>
      </c>
      <c r="Q285" s="365"/>
      <c r="R285" s="171"/>
      <c r="S285" s="171"/>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7"/>
      <c r="BO285" s="251"/>
      <c r="BP285" s="250"/>
      <c r="BQ285" s="250"/>
      <c r="BR285" s="250"/>
      <c r="BS285" s="250"/>
      <c r="BT285" s="250"/>
      <c r="BU285" s="250"/>
      <c r="BY285" s="250"/>
    </row>
    <row r="286" spans="3:78" ht="11.25" customHeight="1">
      <c r="C286" s="97" t="s">
        <v>1240</v>
      </c>
      <c r="D286" s="366" t="s">
        <v>1317</v>
      </c>
      <c r="E286" s="369" t="s">
        <v>199</v>
      </c>
      <c r="F286" s="405" t="s">
        <v>209</v>
      </c>
      <c r="G286" s="375" t="s">
        <v>1327</v>
      </c>
      <c r="H286" s="378" t="s">
        <v>715</v>
      </c>
      <c r="I286" s="381" t="s">
        <v>715</v>
      </c>
      <c r="J286" s="381" t="s">
        <v>716</v>
      </c>
      <c r="K286" s="384">
        <v>1</v>
      </c>
      <c r="L286" s="387" t="s">
        <v>3</v>
      </c>
      <c r="M286" s="390">
        <v>0</v>
      </c>
      <c r="N286" s="163"/>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2"/>
      <c r="BO286" s="251"/>
      <c r="BP286" s="250"/>
      <c r="BQ286" s="250"/>
      <c r="BR286" s="250"/>
      <c r="BS286" s="250"/>
      <c r="BT286" s="250"/>
      <c r="BU286" s="250"/>
      <c r="BY286" s="250"/>
    </row>
    <row r="287" spans="3:78" ht="11.25" customHeight="1">
      <c r="C287" s="306"/>
      <c r="D287" s="367"/>
      <c r="E287" s="370"/>
      <c r="F287" s="406"/>
      <c r="G287" s="376"/>
      <c r="H287" s="379"/>
      <c r="I287" s="382"/>
      <c r="J287" s="382"/>
      <c r="K287" s="385"/>
      <c r="L287" s="388"/>
      <c r="M287" s="391"/>
      <c r="N287" s="393"/>
      <c r="O287" s="396">
        <v>1</v>
      </c>
      <c r="P287" s="399" t="s">
        <v>1297</v>
      </c>
      <c r="Q287" s="402"/>
      <c r="R287" s="361" t="s">
        <v>154</v>
      </c>
      <c r="S287" s="361" t="s">
        <v>154</v>
      </c>
      <c r="T287" s="361" t="s">
        <v>154</v>
      </c>
      <c r="U287" s="361" t="s">
        <v>154</v>
      </c>
      <c r="V287" s="361" t="s">
        <v>154</v>
      </c>
      <c r="W287" s="361" t="s">
        <v>154</v>
      </c>
      <c r="X287" s="361" t="s">
        <v>154</v>
      </c>
      <c r="Y287" s="361" t="s">
        <v>154</v>
      </c>
      <c r="Z287" s="361" t="s">
        <v>154</v>
      </c>
      <c r="AA287" s="361" t="s">
        <v>154</v>
      </c>
      <c r="AB287" s="361" t="s">
        <v>154</v>
      </c>
      <c r="AC287" s="361" t="s">
        <v>154</v>
      </c>
      <c r="AD287" s="361" t="s">
        <v>154</v>
      </c>
      <c r="AE287" s="209"/>
      <c r="AF287" s="220">
        <v>0</v>
      </c>
      <c r="AG287" s="219" t="s">
        <v>308</v>
      </c>
      <c r="AH287" s="219"/>
      <c r="AI287" s="219"/>
      <c r="AJ287" s="219"/>
      <c r="AK287" s="219"/>
      <c r="AL287" s="219"/>
      <c r="AM287" s="219"/>
      <c r="AN287" s="219"/>
      <c r="AO287" s="219"/>
      <c r="AP287" s="164"/>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64"/>
      <c r="BM287" s="164"/>
      <c r="BN287" s="165"/>
      <c r="BO287" s="251"/>
      <c r="BP287" s="364" t="s">
        <v>1298</v>
      </c>
      <c r="BQ287" s="364" t="s">
        <v>1298</v>
      </c>
      <c r="BR287" s="364" t="s">
        <v>1298</v>
      </c>
      <c r="BS287" s="250"/>
      <c r="BT287" s="364" t="s">
        <v>1298</v>
      </c>
      <c r="BU287" s="364" t="s">
        <v>1298</v>
      </c>
      <c r="BV287" s="364" t="s">
        <v>1298</v>
      </c>
      <c r="BW287" s="364" t="s">
        <v>1298</v>
      </c>
      <c r="BX287" s="364" t="s">
        <v>1298</v>
      </c>
      <c r="BY287" s="250"/>
    </row>
    <row r="288" spans="3:78" ht="14.25">
      <c r="C288" s="306"/>
      <c r="D288" s="367"/>
      <c r="E288" s="370"/>
      <c r="F288" s="406"/>
      <c r="G288" s="376"/>
      <c r="H288" s="379"/>
      <c r="I288" s="382"/>
      <c r="J288" s="382"/>
      <c r="K288" s="385"/>
      <c r="L288" s="388"/>
      <c r="M288" s="391"/>
      <c r="N288" s="394"/>
      <c r="O288" s="397"/>
      <c r="P288" s="400"/>
      <c r="Q288" s="403"/>
      <c r="R288" s="362"/>
      <c r="S288" s="362"/>
      <c r="T288" s="362"/>
      <c r="U288" s="362"/>
      <c r="V288" s="362"/>
      <c r="W288" s="362"/>
      <c r="X288" s="362"/>
      <c r="Y288" s="362"/>
      <c r="Z288" s="362"/>
      <c r="AA288" s="362"/>
      <c r="AB288" s="362"/>
      <c r="AC288" s="362"/>
      <c r="AD288" s="362"/>
      <c r="AE288" s="193"/>
      <c r="AF288" s="217" t="s">
        <v>268</v>
      </c>
      <c r="AG288" s="158" t="s">
        <v>221</v>
      </c>
      <c r="AH288" s="300" t="s">
        <v>19</v>
      </c>
      <c r="AI288" s="301" t="s">
        <v>154</v>
      </c>
      <c r="AJ288" s="221"/>
      <c r="AK288" s="221"/>
      <c r="AL288" s="221"/>
      <c r="AM288" s="221"/>
      <c r="AN288" s="221"/>
      <c r="AO288" s="221"/>
      <c r="AP288" s="302" t="s">
        <v>19</v>
      </c>
      <c r="AQ288" s="195">
        <f>SUM(AT288,AW288,AZ288,BC288,BF288,BI288,BL288)</f>
        <v>116417.650617975</v>
      </c>
      <c r="AR288" s="197">
        <f>SUM(AT288,AX288,BA288,BD288,BG288,BJ288,BM288)</f>
        <v>0</v>
      </c>
      <c r="AS288" s="195">
        <f>AQ288-AR288</f>
        <v>116417.650617975</v>
      </c>
      <c r="AT288" s="312"/>
      <c r="AU288" s="312"/>
      <c r="AV288" s="244"/>
      <c r="AW288" s="159">
        <v>116417.650617975</v>
      </c>
      <c r="AX288" s="312"/>
      <c r="AY288" s="194">
        <f>AW288-AX288</f>
        <v>116417.650617975</v>
      </c>
      <c r="AZ288" s="160"/>
      <c r="BA288" s="312"/>
      <c r="BB288" s="194">
        <f>AZ288-BA288</f>
        <v>0</v>
      </c>
      <c r="BC288" s="159"/>
      <c r="BD288" s="312"/>
      <c r="BE288" s="194">
        <f>BC288-BD288</f>
        <v>0</v>
      </c>
      <c r="BF288" s="159"/>
      <c r="BG288" s="244"/>
      <c r="BH288" s="194">
        <f>BF288-BG288</f>
        <v>0</v>
      </c>
      <c r="BI288" s="159"/>
      <c r="BJ288" s="244"/>
      <c r="BK288" s="194">
        <f>BI288-BJ288</f>
        <v>0</v>
      </c>
      <c r="BL288" s="312"/>
      <c r="BM288" s="312"/>
      <c r="BN288" s="195">
        <f>BL288-BM288</f>
        <v>0</v>
      </c>
      <c r="BO288" s="251">
        <v>0</v>
      </c>
      <c r="BP288" s="364"/>
      <c r="BQ288" s="364"/>
      <c r="BR288" s="364"/>
      <c r="BS288" s="249" t="str">
        <f>AG288 &amp; BO288</f>
        <v>Амортизационные отчисления0</v>
      </c>
      <c r="BT288" s="364"/>
      <c r="BU288" s="364"/>
      <c r="BV288" s="364"/>
      <c r="BW288" s="364"/>
      <c r="BX288" s="364"/>
      <c r="BY288" s="249" t="str">
        <f>AG288&amp;AH288</f>
        <v>Амортизационные отчислениянет</v>
      </c>
      <c r="BZ288" s="250"/>
    </row>
    <row r="289" spans="3:78" ht="14.25">
      <c r="C289" s="97"/>
      <c r="D289" s="367"/>
      <c r="E289" s="370"/>
      <c r="F289" s="406"/>
      <c r="G289" s="376"/>
      <c r="H289" s="379"/>
      <c r="I289" s="382"/>
      <c r="J289" s="382"/>
      <c r="K289" s="385"/>
      <c r="L289" s="388"/>
      <c r="M289" s="391"/>
      <c r="N289" s="394"/>
      <c r="O289" s="397"/>
      <c r="P289" s="400"/>
      <c r="Q289" s="403"/>
      <c r="R289" s="362"/>
      <c r="S289" s="362"/>
      <c r="T289" s="362"/>
      <c r="U289" s="362"/>
      <c r="V289" s="362"/>
      <c r="W289" s="362"/>
      <c r="X289" s="362"/>
      <c r="Y289" s="362"/>
      <c r="Z289" s="362"/>
      <c r="AA289" s="362"/>
      <c r="AB289" s="362"/>
      <c r="AC289" s="362"/>
      <c r="AD289" s="362"/>
      <c r="AE289" s="322" t="s">
        <v>1240</v>
      </c>
      <c r="AF289" s="217" t="s">
        <v>118</v>
      </c>
      <c r="AG289" s="196" t="s">
        <v>223</v>
      </c>
      <c r="AH289" s="302" t="s">
        <v>19</v>
      </c>
      <c r="AI289" s="301" t="s">
        <v>154</v>
      </c>
      <c r="AJ289" s="221"/>
      <c r="AK289" s="221"/>
      <c r="AL289" s="221"/>
      <c r="AM289" s="221"/>
      <c r="AN289" s="221"/>
      <c r="AO289" s="221"/>
      <c r="AP289" s="302" t="s">
        <v>19</v>
      </c>
      <c r="AQ289" s="195">
        <f>SUM(AT289,AW289,AZ289,BC289,BF289,BI289,BL289)</f>
        <v>23283.530123594988</v>
      </c>
      <c r="AR289" s="197">
        <f>SUM(AT289,AX289,BA289,BD289,BG289,BJ289,BM289)</f>
        <v>0</v>
      </c>
      <c r="AS289" s="195">
        <f>AQ289-AR289</f>
        <v>23283.530123594988</v>
      </c>
      <c r="AT289" s="315"/>
      <c r="AU289" s="315"/>
      <c r="AV289" s="241"/>
      <c r="AW289" s="198">
        <f>139701.18074157-AW288</f>
        <v>23283.530123594988</v>
      </c>
      <c r="AX289" s="313"/>
      <c r="AY289" s="199">
        <f>AW289-AX289</f>
        <v>23283.530123594988</v>
      </c>
      <c r="AZ289" s="173"/>
      <c r="BA289" s="313"/>
      <c r="BB289" s="199">
        <f>AZ289-BA289</f>
        <v>0</v>
      </c>
      <c r="BC289" s="198"/>
      <c r="BD289" s="313"/>
      <c r="BE289" s="199">
        <f>BC289-BD289</f>
        <v>0</v>
      </c>
      <c r="BF289" s="198"/>
      <c r="BG289" s="241"/>
      <c r="BH289" s="199">
        <f>BF289-BG289</f>
        <v>0</v>
      </c>
      <c r="BI289" s="198"/>
      <c r="BJ289" s="241"/>
      <c r="BK289" s="199">
        <f>BI289-BJ289</f>
        <v>0</v>
      </c>
      <c r="BL289" s="313"/>
      <c r="BM289" s="313"/>
      <c r="BN289" s="195">
        <f>BL289-BM289</f>
        <v>0</v>
      </c>
      <c r="BO289" s="251">
        <v>0</v>
      </c>
      <c r="BP289" s="364"/>
      <c r="BQ289" s="364"/>
      <c r="BR289" s="364"/>
      <c r="BS289" s="249" t="str">
        <f>AG289 &amp; BO289</f>
        <v>Прочие собственные средства0</v>
      </c>
      <c r="BT289" s="364"/>
      <c r="BU289" s="364"/>
      <c r="BV289" s="364"/>
      <c r="BW289" s="364"/>
      <c r="BX289" s="364"/>
      <c r="BY289" s="249" t="str">
        <f>AG289&amp;AH289</f>
        <v>Прочие собственные средстванет</v>
      </c>
      <c r="BZ289" s="250"/>
    </row>
    <row r="290" spans="3:78" ht="15" customHeight="1">
      <c r="C290" s="306"/>
      <c r="D290" s="367"/>
      <c r="E290" s="370"/>
      <c r="F290" s="406"/>
      <c r="G290" s="376"/>
      <c r="H290" s="379"/>
      <c r="I290" s="382"/>
      <c r="J290" s="382"/>
      <c r="K290" s="385"/>
      <c r="L290" s="388"/>
      <c r="M290" s="391"/>
      <c r="N290" s="395"/>
      <c r="O290" s="398"/>
      <c r="P290" s="401"/>
      <c r="Q290" s="404"/>
      <c r="R290" s="363"/>
      <c r="S290" s="363"/>
      <c r="T290" s="363"/>
      <c r="U290" s="363"/>
      <c r="V290" s="363"/>
      <c r="W290" s="363"/>
      <c r="X290" s="363"/>
      <c r="Y290" s="363"/>
      <c r="Z290" s="363"/>
      <c r="AA290" s="363"/>
      <c r="AB290" s="363"/>
      <c r="AC290" s="363"/>
      <c r="AD290" s="363"/>
      <c r="AE290" s="279" t="s">
        <v>379</v>
      </c>
      <c r="AF290" s="203"/>
      <c r="AG290" s="223" t="s">
        <v>24</v>
      </c>
      <c r="AH290" s="223"/>
      <c r="AI290" s="223"/>
      <c r="AJ290" s="223"/>
      <c r="AK290" s="223"/>
      <c r="AL290" s="223"/>
      <c r="AM290" s="223"/>
      <c r="AN290" s="223"/>
      <c r="AO290" s="223"/>
      <c r="AP290" s="168"/>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70"/>
      <c r="BO290" s="251"/>
      <c r="BP290" s="364"/>
      <c r="BQ290" s="364"/>
      <c r="BR290" s="364"/>
      <c r="BS290" s="250"/>
      <c r="BT290" s="364"/>
      <c r="BU290" s="364"/>
      <c r="BV290" s="364"/>
      <c r="BW290" s="364"/>
      <c r="BX290" s="364"/>
      <c r="BY290" s="250"/>
    </row>
    <row r="291" spans="3:78" ht="15" customHeight="1" thickBot="1">
      <c r="C291" s="307"/>
      <c r="D291" s="368"/>
      <c r="E291" s="371"/>
      <c r="F291" s="407"/>
      <c r="G291" s="377"/>
      <c r="H291" s="380"/>
      <c r="I291" s="383"/>
      <c r="J291" s="383"/>
      <c r="K291" s="386"/>
      <c r="L291" s="389"/>
      <c r="M291" s="392"/>
      <c r="N291" s="280" t="s">
        <v>380</v>
      </c>
      <c r="O291" s="212"/>
      <c r="P291" s="365" t="s">
        <v>154</v>
      </c>
      <c r="Q291" s="365"/>
      <c r="R291" s="171"/>
      <c r="S291" s="171"/>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7"/>
      <c r="BO291" s="251"/>
      <c r="BP291" s="250"/>
      <c r="BQ291" s="250"/>
      <c r="BR291" s="250"/>
      <c r="BS291" s="250"/>
      <c r="BT291" s="250"/>
      <c r="BU291" s="250"/>
      <c r="BY291" s="250"/>
    </row>
    <row r="292" spans="3:78" ht="11.25" customHeight="1">
      <c r="C292" s="97" t="s">
        <v>1240</v>
      </c>
      <c r="D292" s="366" t="s">
        <v>1318</v>
      </c>
      <c r="E292" s="369" t="s">
        <v>199</v>
      </c>
      <c r="F292" s="405" t="s">
        <v>209</v>
      </c>
      <c r="G292" s="375" t="s">
        <v>1328</v>
      </c>
      <c r="H292" s="378" t="s">
        <v>715</v>
      </c>
      <c r="I292" s="381" t="s">
        <v>715</v>
      </c>
      <c r="J292" s="381" t="s">
        <v>716</v>
      </c>
      <c r="K292" s="384">
        <v>1</v>
      </c>
      <c r="L292" s="387" t="s">
        <v>4</v>
      </c>
      <c r="M292" s="390">
        <v>0</v>
      </c>
      <c r="N292" s="163"/>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c r="AX292" s="161"/>
      <c r="AY292" s="161"/>
      <c r="AZ292" s="161"/>
      <c r="BA292" s="161"/>
      <c r="BB292" s="161"/>
      <c r="BC292" s="161"/>
      <c r="BD292" s="161"/>
      <c r="BE292" s="161"/>
      <c r="BF292" s="161"/>
      <c r="BG292" s="161"/>
      <c r="BH292" s="161"/>
      <c r="BI292" s="161"/>
      <c r="BJ292" s="161"/>
      <c r="BK292" s="161"/>
      <c r="BL292" s="161"/>
      <c r="BM292" s="161"/>
      <c r="BN292" s="162"/>
      <c r="BO292" s="251"/>
      <c r="BP292" s="250"/>
      <c r="BQ292" s="250"/>
      <c r="BR292" s="250"/>
      <c r="BS292" s="250"/>
      <c r="BT292" s="250"/>
      <c r="BU292" s="250"/>
      <c r="BY292" s="250"/>
    </row>
    <row r="293" spans="3:78" ht="11.25" customHeight="1">
      <c r="C293" s="306"/>
      <c r="D293" s="367"/>
      <c r="E293" s="370"/>
      <c r="F293" s="406"/>
      <c r="G293" s="376"/>
      <c r="H293" s="379"/>
      <c r="I293" s="382"/>
      <c r="J293" s="382"/>
      <c r="K293" s="385"/>
      <c r="L293" s="388"/>
      <c r="M293" s="391"/>
      <c r="N293" s="393"/>
      <c r="O293" s="396">
        <v>1</v>
      </c>
      <c r="P293" s="399" t="s">
        <v>1297</v>
      </c>
      <c r="Q293" s="402"/>
      <c r="R293" s="361" t="s">
        <v>154</v>
      </c>
      <c r="S293" s="361" t="s">
        <v>154</v>
      </c>
      <c r="T293" s="361" t="s">
        <v>154</v>
      </c>
      <c r="U293" s="361" t="s">
        <v>154</v>
      </c>
      <c r="V293" s="361" t="s">
        <v>154</v>
      </c>
      <c r="W293" s="361" t="s">
        <v>154</v>
      </c>
      <c r="X293" s="361" t="s">
        <v>154</v>
      </c>
      <c r="Y293" s="361" t="s">
        <v>154</v>
      </c>
      <c r="Z293" s="361" t="s">
        <v>154</v>
      </c>
      <c r="AA293" s="361" t="s">
        <v>154</v>
      </c>
      <c r="AB293" s="361" t="s">
        <v>154</v>
      </c>
      <c r="AC293" s="361" t="s">
        <v>154</v>
      </c>
      <c r="AD293" s="361" t="s">
        <v>154</v>
      </c>
      <c r="AE293" s="209"/>
      <c r="AF293" s="220">
        <v>0</v>
      </c>
      <c r="AG293" s="219" t="s">
        <v>308</v>
      </c>
      <c r="AH293" s="219"/>
      <c r="AI293" s="219"/>
      <c r="AJ293" s="219"/>
      <c r="AK293" s="219"/>
      <c r="AL293" s="219"/>
      <c r="AM293" s="219"/>
      <c r="AN293" s="219"/>
      <c r="AO293" s="219"/>
      <c r="AP293" s="164"/>
      <c r="AQ293" s="164"/>
      <c r="AR293" s="164"/>
      <c r="AS293" s="164"/>
      <c r="AT293" s="164"/>
      <c r="AU293" s="164"/>
      <c r="AV293" s="164"/>
      <c r="AW293" s="164"/>
      <c r="AX293" s="164"/>
      <c r="AY293" s="164"/>
      <c r="AZ293" s="164"/>
      <c r="BA293" s="164"/>
      <c r="BB293" s="164"/>
      <c r="BC293" s="164"/>
      <c r="BD293" s="164"/>
      <c r="BE293" s="164"/>
      <c r="BF293" s="164"/>
      <c r="BG293" s="164"/>
      <c r="BH293" s="164"/>
      <c r="BI293" s="164"/>
      <c r="BJ293" s="164"/>
      <c r="BK293" s="164"/>
      <c r="BL293" s="164"/>
      <c r="BM293" s="164"/>
      <c r="BN293" s="165"/>
      <c r="BO293" s="251"/>
      <c r="BP293" s="364" t="s">
        <v>1298</v>
      </c>
      <c r="BQ293" s="364" t="s">
        <v>1298</v>
      </c>
      <c r="BR293" s="364" t="s">
        <v>1298</v>
      </c>
      <c r="BS293" s="250"/>
      <c r="BT293" s="364" t="s">
        <v>1298</v>
      </c>
      <c r="BU293" s="364" t="s">
        <v>1298</v>
      </c>
      <c r="BV293" s="364" t="s">
        <v>1298</v>
      </c>
      <c r="BW293" s="364" t="s">
        <v>1298</v>
      </c>
      <c r="BX293" s="364" t="s">
        <v>1298</v>
      </c>
      <c r="BY293" s="250"/>
    </row>
    <row r="294" spans="3:78" ht="14.25">
      <c r="C294" s="306"/>
      <c r="D294" s="367"/>
      <c r="E294" s="370"/>
      <c r="F294" s="406"/>
      <c r="G294" s="376"/>
      <c r="H294" s="379"/>
      <c r="I294" s="382"/>
      <c r="J294" s="382"/>
      <c r="K294" s="385"/>
      <c r="L294" s="388"/>
      <c r="M294" s="391"/>
      <c r="N294" s="394"/>
      <c r="O294" s="397"/>
      <c r="P294" s="400"/>
      <c r="Q294" s="403"/>
      <c r="R294" s="362"/>
      <c r="S294" s="362"/>
      <c r="T294" s="362"/>
      <c r="U294" s="362"/>
      <c r="V294" s="362"/>
      <c r="W294" s="362"/>
      <c r="X294" s="362"/>
      <c r="Y294" s="362"/>
      <c r="Z294" s="362"/>
      <c r="AA294" s="362"/>
      <c r="AB294" s="362"/>
      <c r="AC294" s="362"/>
      <c r="AD294" s="362"/>
      <c r="AE294" s="193"/>
      <c r="AF294" s="217" t="s">
        <v>268</v>
      </c>
      <c r="AG294" s="158" t="s">
        <v>221</v>
      </c>
      <c r="AH294" s="300" t="s">
        <v>19</v>
      </c>
      <c r="AI294" s="301" t="s">
        <v>154</v>
      </c>
      <c r="AJ294" s="221"/>
      <c r="AK294" s="221"/>
      <c r="AL294" s="221"/>
      <c r="AM294" s="221"/>
      <c r="AN294" s="221"/>
      <c r="AO294" s="221"/>
      <c r="AP294" s="302" t="s">
        <v>19</v>
      </c>
      <c r="AQ294" s="195">
        <f>SUM(AT294,AW294,AZ294,BC294,BF294,BI294,BL294)</f>
        <v>30558.717198723087</v>
      </c>
      <c r="AR294" s="197">
        <f>SUM(AT294,AX294,BA294,BD294,BG294,BJ294,BM294)</f>
        <v>0</v>
      </c>
      <c r="AS294" s="195">
        <f>AQ294-AR294</f>
        <v>30558.717198723087</v>
      </c>
      <c r="AT294" s="312"/>
      <c r="AU294" s="312"/>
      <c r="AV294" s="244"/>
      <c r="AW294" s="159"/>
      <c r="AX294" s="312"/>
      <c r="AY294" s="194">
        <f>AW294-AX294</f>
        <v>0</v>
      </c>
      <c r="AZ294" s="160">
        <v>30558.717198723087</v>
      </c>
      <c r="BA294" s="312"/>
      <c r="BB294" s="194">
        <f>AZ294-BA294</f>
        <v>30558.717198723087</v>
      </c>
      <c r="BC294" s="159"/>
      <c r="BD294" s="312"/>
      <c r="BE294" s="194">
        <f>BC294-BD294</f>
        <v>0</v>
      </c>
      <c r="BF294" s="159"/>
      <c r="BG294" s="244"/>
      <c r="BH294" s="194">
        <f>BF294-BG294</f>
        <v>0</v>
      </c>
      <c r="BI294" s="159"/>
      <c r="BJ294" s="244"/>
      <c r="BK294" s="194">
        <f>BI294-BJ294</f>
        <v>0</v>
      </c>
      <c r="BL294" s="312"/>
      <c r="BM294" s="312"/>
      <c r="BN294" s="195">
        <f>BL294-BM294</f>
        <v>0</v>
      </c>
      <c r="BO294" s="251">
        <v>0</v>
      </c>
      <c r="BP294" s="364"/>
      <c r="BQ294" s="364"/>
      <c r="BR294" s="364"/>
      <c r="BS294" s="249" t="str">
        <f>AG294 &amp; BO294</f>
        <v>Амортизационные отчисления0</v>
      </c>
      <c r="BT294" s="364"/>
      <c r="BU294" s="364"/>
      <c r="BV294" s="364"/>
      <c r="BW294" s="364"/>
      <c r="BX294" s="364"/>
      <c r="BY294" s="249" t="str">
        <f>AG294&amp;AH294</f>
        <v>Амортизационные отчислениянет</v>
      </c>
      <c r="BZ294" s="250"/>
    </row>
    <row r="295" spans="3:78" ht="14.25">
      <c r="C295" s="97"/>
      <c r="D295" s="367"/>
      <c r="E295" s="370"/>
      <c r="F295" s="406"/>
      <c r="G295" s="376"/>
      <c r="H295" s="379"/>
      <c r="I295" s="382"/>
      <c r="J295" s="382"/>
      <c r="K295" s="385"/>
      <c r="L295" s="388"/>
      <c r="M295" s="391"/>
      <c r="N295" s="394"/>
      <c r="O295" s="397"/>
      <c r="P295" s="400"/>
      <c r="Q295" s="403"/>
      <c r="R295" s="362"/>
      <c r="S295" s="362"/>
      <c r="T295" s="362"/>
      <c r="U295" s="362"/>
      <c r="V295" s="362"/>
      <c r="W295" s="362"/>
      <c r="X295" s="362"/>
      <c r="Y295" s="362"/>
      <c r="Z295" s="362"/>
      <c r="AA295" s="362"/>
      <c r="AB295" s="362"/>
      <c r="AC295" s="362"/>
      <c r="AD295" s="362"/>
      <c r="AE295" s="322" t="s">
        <v>1240</v>
      </c>
      <c r="AF295" s="217" t="s">
        <v>118</v>
      </c>
      <c r="AG295" s="196" t="s">
        <v>223</v>
      </c>
      <c r="AH295" s="302" t="s">
        <v>19</v>
      </c>
      <c r="AI295" s="301" t="s">
        <v>154</v>
      </c>
      <c r="AJ295" s="221"/>
      <c r="AK295" s="221"/>
      <c r="AL295" s="221"/>
      <c r="AM295" s="221"/>
      <c r="AN295" s="221"/>
      <c r="AO295" s="221"/>
      <c r="AP295" s="302" t="s">
        <v>19</v>
      </c>
      <c r="AQ295" s="195">
        <f>SUM(AT295,AW295,AZ295,BC295,BF295,BI295,BL295)</f>
        <v>6111.7434397446159</v>
      </c>
      <c r="AR295" s="197">
        <f>SUM(AT295,AX295,BA295,BD295,BG295,BJ295,BM295)</f>
        <v>0</v>
      </c>
      <c r="AS295" s="195">
        <f>AQ295-AR295</f>
        <v>6111.7434397446159</v>
      </c>
      <c r="AT295" s="315"/>
      <c r="AU295" s="315"/>
      <c r="AV295" s="241"/>
      <c r="AW295" s="198"/>
      <c r="AX295" s="313"/>
      <c r="AY295" s="199">
        <f>AW295-AX295</f>
        <v>0</v>
      </c>
      <c r="AZ295" s="173">
        <f>36670.4606384677-AZ294</f>
        <v>6111.7434397446159</v>
      </c>
      <c r="BA295" s="313"/>
      <c r="BB295" s="199">
        <f>AZ295-BA295</f>
        <v>6111.7434397446159</v>
      </c>
      <c r="BC295" s="198"/>
      <c r="BD295" s="313"/>
      <c r="BE295" s="199">
        <f>BC295-BD295</f>
        <v>0</v>
      </c>
      <c r="BF295" s="198"/>
      <c r="BG295" s="241"/>
      <c r="BH295" s="199">
        <f>BF295-BG295</f>
        <v>0</v>
      </c>
      <c r="BI295" s="198"/>
      <c r="BJ295" s="241"/>
      <c r="BK295" s="199">
        <f>BI295-BJ295</f>
        <v>0</v>
      </c>
      <c r="BL295" s="313"/>
      <c r="BM295" s="313"/>
      <c r="BN295" s="195">
        <f>BL295-BM295</f>
        <v>0</v>
      </c>
      <c r="BO295" s="251">
        <v>0</v>
      </c>
      <c r="BP295" s="364"/>
      <c r="BQ295" s="364"/>
      <c r="BR295" s="364"/>
      <c r="BS295" s="249" t="str">
        <f>AG295 &amp; BO295</f>
        <v>Прочие собственные средства0</v>
      </c>
      <c r="BT295" s="364"/>
      <c r="BU295" s="364"/>
      <c r="BV295" s="364"/>
      <c r="BW295" s="364"/>
      <c r="BX295" s="364"/>
      <c r="BY295" s="249" t="str">
        <f>AG295&amp;AH295</f>
        <v>Прочие собственные средстванет</v>
      </c>
      <c r="BZ295" s="250"/>
    </row>
    <row r="296" spans="3:78" ht="15" customHeight="1">
      <c r="C296" s="306"/>
      <c r="D296" s="367"/>
      <c r="E296" s="370"/>
      <c r="F296" s="406"/>
      <c r="G296" s="376"/>
      <c r="H296" s="379"/>
      <c r="I296" s="382"/>
      <c r="J296" s="382"/>
      <c r="K296" s="385"/>
      <c r="L296" s="388"/>
      <c r="M296" s="391"/>
      <c r="N296" s="395"/>
      <c r="O296" s="398"/>
      <c r="P296" s="401"/>
      <c r="Q296" s="404"/>
      <c r="R296" s="363"/>
      <c r="S296" s="363"/>
      <c r="T296" s="363"/>
      <c r="U296" s="363"/>
      <c r="V296" s="363"/>
      <c r="W296" s="363"/>
      <c r="X296" s="363"/>
      <c r="Y296" s="363"/>
      <c r="Z296" s="363"/>
      <c r="AA296" s="363"/>
      <c r="AB296" s="363"/>
      <c r="AC296" s="363"/>
      <c r="AD296" s="363"/>
      <c r="AE296" s="279" t="s">
        <v>379</v>
      </c>
      <c r="AF296" s="203"/>
      <c r="AG296" s="223" t="s">
        <v>24</v>
      </c>
      <c r="AH296" s="223"/>
      <c r="AI296" s="223"/>
      <c r="AJ296" s="223"/>
      <c r="AK296" s="223"/>
      <c r="AL296" s="223"/>
      <c r="AM296" s="223"/>
      <c r="AN296" s="223"/>
      <c r="AO296" s="223"/>
      <c r="AP296" s="168"/>
      <c r="AQ296" s="169"/>
      <c r="AR296" s="169"/>
      <c r="AS296" s="169"/>
      <c r="AT296" s="169"/>
      <c r="AU296" s="169"/>
      <c r="AV296" s="169"/>
      <c r="AW296" s="169"/>
      <c r="AX296" s="169"/>
      <c r="AY296" s="169"/>
      <c r="AZ296" s="169"/>
      <c r="BA296" s="169"/>
      <c r="BB296" s="169"/>
      <c r="BC296" s="169"/>
      <c r="BD296" s="169"/>
      <c r="BE296" s="169"/>
      <c r="BF296" s="169"/>
      <c r="BG296" s="169"/>
      <c r="BH296" s="169"/>
      <c r="BI296" s="169"/>
      <c r="BJ296" s="169"/>
      <c r="BK296" s="169"/>
      <c r="BL296" s="169"/>
      <c r="BM296" s="169"/>
      <c r="BN296" s="170"/>
      <c r="BO296" s="251"/>
      <c r="BP296" s="364"/>
      <c r="BQ296" s="364"/>
      <c r="BR296" s="364"/>
      <c r="BS296" s="250"/>
      <c r="BT296" s="364"/>
      <c r="BU296" s="364"/>
      <c r="BV296" s="364"/>
      <c r="BW296" s="364"/>
      <c r="BX296" s="364"/>
      <c r="BY296" s="250"/>
    </row>
    <row r="297" spans="3:78" ht="15" customHeight="1" thickBot="1">
      <c r="C297" s="307"/>
      <c r="D297" s="368"/>
      <c r="E297" s="371"/>
      <c r="F297" s="407"/>
      <c r="G297" s="377"/>
      <c r="H297" s="380"/>
      <c r="I297" s="383"/>
      <c r="J297" s="383"/>
      <c r="K297" s="386"/>
      <c r="L297" s="389"/>
      <c r="M297" s="392"/>
      <c r="N297" s="280" t="s">
        <v>380</v>
      </c>
      <c r="O297" s="212"/>
      <c r="P297" s="365" t="s">
        <v>154</v>
      </c>
      <c r="Q297" s="365"/>
      <c r="R297" s="171"/>
      <c r="S297" s="171"/>
      <c r="T297" s="166"/>
      <c r="U297" s="166"/>
      <c r="V297" s="166"/>
      <c r="W297" s="166"/>
      <c r="X297" s="166"/>
      <c r="Y297" s="166"/>
      <c r="Z297" s="166"/>
      <c r="AA297" s="166"/>
      <c r="AB297" s="166"/>
      <c r="AC297" s="166"/>
      <c r="AD297" s="166"/>
      <c r="AE297" s="166"/>
      <c r="AF297" s="166"/>
      <c r="AG297" s="166"/>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7"/>
      <c r="BO297" s="251"/>
      <c r="BP297" s="250"/>
      <c r="BQ297" s="250"/>
      <c r="BR297" s="250"/>
      <c r="BS297" s="250"/>
      <c r="BT297" s="250"/>
      <c r="BU297" s="250"/>
      <c r="BY297" s="250"/>
    </row>
    <row r="298" spans="3:78" ht="11.25" customHeight="1">
      <c r="C298" s="97" t="s">
        <v>1240</v>
      </c>
      <c r="D298" s="366" t="s">
        <v>1319</v>
      </c>
      <c r="E298" s="369" t="s">
        <v>199</v>
      </c>
      <c r="F298" s="405" t="s">
        <v>209</v>
      </c>
      <c r="G298" s="375" t="s">
        <v>1329</v>
      </c>
      <c r="H298" s="378" t="s">
        <v>715</v>
      </c>
      <c r="I298" s="381" t="s">
        <v>715</v>
      </c>
      <c r="J298" s="381" t="s">
        <v>716</v>
      </c>
      <c r="K298" s="384">
        <v>1</v>
      </c>
      <c r="L298" s="387" t="s">
        <v>3</v>
      </c>
      <c r="M298" s="390">
        <v>0</v>
      </c>
      <c r="N298" s="163"/>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c r="AX298" s="161"/>
      <c r="AY298" s="161"/>
      <c r="AZ298" s="161"/>
      <c r="BA298" s="161"/>
      <c r="BB298" s="161"/>
      <c r="BC298" s="161"/>
      <c r="BD298" s="161"/>
      <c r="BE298" s="161"/>
      <c r="BF298" s="161"/>
      <c r="BG298" s="161"/>
      <c r="BH298" s="161"/>
      <c r="BI298" s="161"/>
      <c r="BJ298" s="161"/>
      <c r="BK298" s="161"/>
      <c r="BL298" s="161"/>
      <c r="BM298" s="161"/>
      <c r="BN298" s="162"/>
      <c r="BO298" s="251"/>
      <c r="BP298" s="250"/>
      <c r="BQ298" s="250"/>
      <c r="BR298" s="250"/>
      <c r="BS298" s="250"/>
      <c r="BT298" s="250"/>
      <c r="BU298" s="250"/>
      <c r="BY298" s="250"/>
    </row>
    <row r="299" spans="3:78" ht="11.25" customHeight="1">
      <c r="C299" s="306"/>
      <c r="D299" s="367"/>
      <c r="E299" s="370"/>
      <c r="F299" s="406"/>
      <c r="G299" s="376"/>
      <c r="H299" s="379"/>
      <c r="I299" s="382"/>
      <c r="J299" s="382"/>
      <c r="K299" s="385"/>
      <c r="L299" s="388"/>
      <c r="M299" s="391"/>
      <c r="N299" s="393"/>
      <c r="O299" s="396">
        <v>1</v>
      </c>
      <c r="P299" s="399" t="s">
        <v>1297</v>
      </c>
      <c r="Q299" s="402"/>
      <c r="R299" s="361" t="s">
        <v>154</v>
      </c>
      <c r="S299" s="361" t="s">
        <v>154</v>
      </c>
      <c r="T299" s="361" t="s">
        <v>154</v>
      </c>
      <c r="U299" s="361" t="s">
        <v>154</v>
      </c>
      <c r="V299" s="361" t="s">
        <v>154</v>
      </c>
      <c r="W299" s="361" t="s">
        <v>154</v>
      </c>
      <c r="X299" s="361" t="s">
        <v>154</v>
      </c>
      <c r="Y299" s="361" t="s">
        <v>154</v>
      </c>
      <c r="Z299" s="361" t="s">
        <v>154</v>
      </c>
      <c r="AA299" s="361" t="s">
        <v>154</v>
      </c>
      <c r="AB299" s="361" t="s">
        <v>154</v>
      </c>
      <c r="AC299" s="361" t="s">
        <v>154</v>
      </c>
      <c r="AD299" s="361" t="s">
        <v>154</v>
      </c>
      <c r="AE299" s="209"/>
      <c r="AF299" s="220">
        <v>0</v>
      </c>
      <c r="AG299" s="219" t="s">
        <v>308</v>
      </c>
      <c r="AH299" s="219"/>
      <c r="AI299" s="219"/>
      <c r="AJ299" s="219"/>
      <c r="AK299" s="219"/>
      <c r="AL299" s="219"/>
      <c r="AM299" s="219"/>
      <c r="AN299" s="219"/>
      <c r="AO299" s="219"/>
      <c r="AP299" s="164"/>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64"/>
      <c r="BM299" s="164"/>
      <c r="BN299" s="165"/>
      <c r="BO299" s="251"/>
      <c r="BP299" s="364" t="s">
        <v>1298</v>
      </c>
      <c r="BQ299" s="364" t="s">
        <v>1298</v>
      </c>
      <c r="BR299" s="364" t="s">
        <v>1298</v>
      </c>
      <c r="BS299" s="250"/>
      <c r="BT299" s="364" t="s">
        <v>1298</v>
      </c>
      <c r="BU299" s="364" t="s">
        <v>1298</v>
      </c>
      <c r="BV299" s="364" t="s">
        <v>1298</v>
      </c>
      <c r="BW299" s="364" t="s">
        <v>1298</v>
      </c>
      <c r="BX299" s="364" t="s">
        <v>1298</v>
      </c>
      <c r="BY299" s="250"/>
    </row>
    <row r="300" spans="3:78" ht="14.25">
      <c r="C300" s="306"/>
      <c r="D300" s="367"/>
      <c r="E300" s="370"/>
      <c r="F300" s="406"/>
      <c r="G300" s="376"/>
      <c r="H300" s="379"/>
      <c r="I300" s="382"/>
      <c r="J300" s="382"/>
      <c r="K300" s="385"/>
      <c r="L300" s="388"/>
      <c r="M300" s="391"/>
      <c r="N300" s="394"/>
      <c r="O300" s="397"/>
      <c r="P300" s="400"/>
      <c r="Q300" s="403"/>
      <c r="R300" s="362"/>
      <c r="S300" s="362"/>
      <c r="T300" s="362"/>
      <c r="U300" s="362"/>
      <c r="V300" s="362"/>
      <c r="W300" s="362"/>
      <c r="X300" s="362"/>
      <c r="Y300" s="362"/>
      <c r="Z300" s="362"/>
      <c r="AA300" s="362"/>
      <c r="AB300" s="362"/>
      <c r="AC300" s="362"/>
      <c r="AD300" s="362"/>
      <c r="AE300" s="193"/>
      <c r="AF300" s="217" t="s">
        <v>268</v>
      </c>
      <c r="AG300" s="158" t="s">
        <v>221</v>
      </c>
      <c r="AH300" s="300" t="s">
        <v>19</v>
      </c>
      <c r="AI300" s="301" t="s">
        <v>154</v>
      </c>
      <c r="AJ300" s="221"/>
      <c r="AK300" s="221"/>
      <c r="AL300" s="221"/>
      <c r="AM300" s="221"/>
      <c r="AN300" s="221"/>
      <c r="AO300" s="221"/>
      <c r="AP300" s="302" t="s">
        <v>19</v>
      </c>
      <c r="AQ300" s="195">
        <f>SUM(AT300,AW300,AZ300,BC300,BF300,BI300,BL300)</f>
        <v>34157.035807730164</v>
      </c>
      <c r="AR300" s="197">
        <f>SUM(AT300,AX300,BA300,BD300,BG300,BJ300,BM300)</f>
        <v>0</v>
      </c>
      <c r="AS300" s="195">
        <f>AQ300-AR300</f>
        <v>34157.035807730164</v>
      </c>
      <c r="AT300" s="312"/>
      <c r="AU300" s="312"/>
      <c r="AV300" s="244"/>
      <c r="AW300" s="159">
        <v>34157.035807730164</v>
      </c>
      <c r="AX300" s="312"/>
      <c r="AY300" s="194">
        <f>AW300-AX300</f>
        <v>34157.035807730164</v>
      </c>
      <c r="AZ300" s="160"/>
      <c r="BA300" s="312"/>
      <c r="BB300" s="194">
        <f>AZ300-BA300</f>
        <v>0</v>
      </c>
      <c r="BC300" s="159"/>
      <c r="BD300" s="312"/>
      <c r="BE300" s="194">
        <f>BC300-BD300</f>
        <v>0</v>
      </c>
      <c r="BF300" s="159"/>
      <c r="BG300" s="244"/>
      <c r="BH300" s="194">
        <f>BF300-BG300</f>
        <v>0</v>
      </c>
      <c r="BI300" s="159"/>
      <c r="BJ300" s="244"/>
      <c r="BK300" s="194">
        <f>BI300-BJ300</f>
        <v>0</v>
      </c>
      <c r="BL300" s="312"/>
      <c r="BM300" s="312"/>
      <c r="BN300" s="195">
        <f>BL300-BM300</f>
        <v>0</v>
      </c>
      <c r="BO300" s="251">
        <v>0</v>
      </c>
      <c r="BP300" s="364"/>
      <c r="BQ300" s="364"/>
      <c r="BR300" s="364"/>
      <c r="BS300" s="249" t="str">
        <f>AG300 &amp; BO300</f>
        <v>Амортизационные отчисления0</v>
      </c>
      <c r="BT300" s="364"/>
      <c r="BU300" s="364"/>
      <c r="BV300" s="364"/>
      <c r="BW300" s="364"/>
      <c r="BX300" s="364"/>
      <c r="BY300" s="249" t="str">
        <f>AG300&amp;AH300</f>
        <v>Амортизационные отчислениянет</v>
      </c>
      <c r="BZ300" s="250"/>
    </row>
    <row r="301" spans="3:78" ht="14.25">
      <c r="C301" s="97"/>
      <c r="D301" s="367"/>
      <c r="E301" s="370"/>
      <c r="F301" s="406"/>
      <c r="G301" s="376"/>
      <c r="H301" s="379"/>
      <c r="I301" s="382"/>
      <c r="J301" s="382"/>
      <c r="K301" s="385"/>
      <c r="L301" s="388"/>
      <c r="M301" s="391"/>
      <c r="N301" s="394"/>
      <c r="O301" s="397"/>
      <c r="P301" s="400"/>
      <c r="Q301" s="403"/>
      <c r="R301" s="362"/>
      <c r="S301" s="362"/>
      <c r="T301" s="362"/>
      <c r="U301" s="362"/>
      <c r="V301" s="362"/>
      <c r="W301" s="362"/>
      <c r="X301" s="362"/>
      <c r="Y301" s="362"/>
      <c r="Z301" s="362"/>
      <c r="AA301" s="362"/>
      <c r="AB301" s="362"/>
      <c r="AC301" s="362"/>
      <c r="AD301" s="362"/>
      <c r="AE301" s="322" t="s">
        <v>1240</v>
      </c>
      <c r="AF301" s="217" t="s">
        <v>118</v>
      </c>
      <c r="AG301" s="196" t="s">
        <v>223</v>
      </c>
      <c r="AH301" s="302" t="s">
        <v>19</v>
      </c>
      <c r="AI301" s="301" t="s">
        <v>154</v>
      </c>
      <c r="AJ301" s="221"/>
      <c r="AK301" s="221"/>
      <c r="AL301" s="221"/>
      <c r="AM301" s="221"/>
      <c r="AN301" s="221"/>
      <c r="AO301" s="221"/>
      <c r="AP301" s="302" t="s">
        <v>19</v>
      </c>
      <c r="AQ301" s="195">
        <f>SUM(AT301,AW301,AZ301,BC301,BF301,BI301,BL301)</f>
        <v>6831.4071615460343</v>
      </c>
      <c r="AR301" s="197">
        <f>SUM(AT301,AX301,BA301,BD301,BG301,BJ301,BM301)</f>
        <v>0</v>
      </c>
      <c r="AS301" s="195">
        <f>AQ301-AR301</f>
        <v>6831.4071615460343</v>
      </c>
      <c r="AT301" s="315"/>
      <c r="AU301" s="315"/>
      <c r="AV301" s="241"/>
      <c r="AW301" s="198">
        <f>40988.4429692762-AW300</f>
        <v>6831.4071615460343</v>
      </c>
      <c r="AX301" s="313"/>
      <c r="AY301" s="199">
        <f>AW301-AX301</f>
        <v>6831.4071615460343</v>
      </c>
      <c r="AZ301" s="173"/>
      <c r="BA301" s="313"/>
      <c r="BB301" s="199">
        <f>AZ301-BA301</f>
        <v>0</v>
      </c>
      <c r="BC301" s="198"/>
      <c r="BD301" s="313"/>
      <c r="BE301" s="199">
        <f>BC301-BD301</f>
        <v>0</v>
      </c>
      <c r="BF301" s="198"/>
      <c r="BG301" s="241"/>
      <c r="BH301" s="199">
        <f>BF301-BG301</f>
        <v>0</v>
      </c>
      <c r="BI301" s="198"/>
      <c r="BJ301" s="241"/>
      <c r="BK301" s="199">
        <f>BI301-BJ301</f>
        <v>0</v>
      </c>
      <c r="BL301" s="313"/>
      <c r="BM301" s="313"/>
      <c r="BN301" s="195">
        <f>BL301-BM301</f>
        <v>0</v>
      </c>
      <c r="BO301" s="251">
        <v>0</v>
      </c>
      <c r="BP301" s="364"/>
      <c r="BQ301" s="364"/>
      <c r="BR301" s="364"/>
      <c r="BS301" s="249" t="str">
        <f>AG301 &amp; BO301</f>
        <v>Прочие собственные средства0</v>
      </c>
      <c r="BT301" s="364"/>
      <c r="BU301" s="364"/>
      <c r="BV301" s="364"/>
      <c r="BW301" s="364"/>
      <c r="BX301" s="364"/>
      <c r="BY301" s="249" t="str">
        <f>AG301&amp;AH301</f>
        <v>Прочие собственные средстванет</v>
      </c>
      <c r="BZ301" s="250"/>
    </row>
    <row r="302" spans="3:78" ht="15" customHeight="1">
      <c r="C302" s="306"/>
      <c r="D302" s="367"/>
      <c r="E302" s="370"/>
      <c r="F302" s="406"/>
      <c r="G302" s="376"/>
      <c r="H302" s="379"/>
      <c r="I302" s="382"/>
      <c r="J302" s="382"/>
      <c r="K302" s="385"/>
      <c r="L302" s="388"/>
      <c r="M302" s="391"/>
      <c r="N302" s="395"/>
      <c r="O302" s="398"/>
      <c r="P302" s="401"/>
      <c r="Q302" s="404"/>
      <c r="R302" s="363"/>
      <c r="S302" s="363"/>
      <c r="T302" s="363"/>
      <c r="U302" s="363"/>
      <c r="V302" s="363"/>
      <c r="W302" s="363"/>
      <c r="X302" s="363"/>
      <c r="Y302" s="363"/>
      <c r="Z302" s="363"/>
      <c r="AA302" s="363"/>
      <c r="AB302" s="363"/>
      <c r="AC302" s="363"/>
      <c r="AD302" s="363"/>
      <c r="AE302" s="279" t="s">
        <v>379</v>
      </c>
      <c r="AF302" s="203"/>
      <c r="AG302" s="223" t="s">
        <v>24</v>
      </c>
      <c r="AH302" s="223"/>
      <c r="AI302" s="223"/>
      <c r="AJ302" s="223"/>
      <c r="AK302" s="223"/>
      <c r="AL302" s="223"/>
      <c r="AM302" s="223"/>
      <c r="AN302" s="223"/>
      <c r="AO302" s="223"/>
      <c r="AP302" s="168"/>
      <c r="AQ302" s="169"/>
      <c r="AR302" s="169"/>
      <c r="AS302" s="169"/>
      <c r="AT302" s="169"/>
      <c r="AU302" s="169"/>
      <c r="AV302" s="169"/>
      <c r="AW302" s="169"/>
      <c r="AX302" s="169"/>
      <c r="AY302" s="169"/>
      <c r="AZ302" s="169"/>
      <c r="BA302" s="169"/>
      <c r="BB302" s="169"/>
      <c r="BC302" s="169"/>
      <c r="BD302" s="169"/>
      <c r="BE302" s="169"/>
      <c r="BF302" s="169"/>
      <c r="BG302" s="169"/>
      <c r="BH302" s="169"/>
      <c r="BI302" s="169"/>
      <c r="BJ302" s="169"/>
      <c r="BK302" s="169"/>
      <c r="BL302" s="169"/>
      <c r="BM302" s="169"/>
      <c r="BN302" s="170"/>
      <c r="BO302" s="251"/>
      <c r="BP302" s="364"/>
      <c r="BQ302" s="364"/>
      <c r="BR302" s="364"/>
      <c r="BS302" s="250"/>
      <c r="BT302" s="364"/>
      <c r="BU302" s="364"/>
      <c r="BV302" s="364"/>
      <c r="BW302" s="364"/>
      <c r="BX302" s="364"/>
      <c r="BY302" s="250"/>
    </row>
    <row r="303" spans="3:78" ht="15" customHeight="1" thickBot="1">
      <c r="C303" s="307"/>
      <c r="D303" s="368"/>
      <c r="E303" s="371"/>
      <c r="F303" s="407"/>
      <c r="G303" s="377"/>
      <c r="H303" s="380"/>
      <c r="I303" s="383"/>
      <c r="J303" s="383"/>
      <c r="K303" s="386"/>
      <c r="L303" s="389"/>
      <c r="M303" s="392"/>
      <c r="N303" s="280" t="s">
        <v>380</v>
      </c>
      <c r="O303" s="212"/>
      <c r="P303" s="365" t="s">
        <v>154</v>
      </c>
      <c r="Q303" s="365"/>
      <c r="R303" s="171"/>
      <c r="S303" s="171"/>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7"/>
      <c r="BO303" s="251"/>
      <c r="BP303" s="250"/>
      <c r="BQ303" s="250"/>
      <c r="BR303" s="250"/>
      <c r="BS303" s="250"/>
      <c r="BT303" s="250"/>
      <c r="BU303" s="250"/>
      <c r="BY303" s="250"/>
    </row>
    <row r="304" spans="3:78" ht="11.25" customHeight="1">
      <c r="C304" s="97" t="s">
        <v>1240</v>
      </c>
      <c r="D304" s="366" t="s">
        <v>1320</v>
      </c>
      <c r="E304" s="369" t="s">
        <v>199</v>
      </c>
      <c r="F304" s="405" t="s">
        <v>209</v>
      </c>
      <c r="G304" s="375" t="s">
        <v>1473</v>
      </c>
      <c r="H304" s="378" t="s">
        <v>715</v>
      </c>
      <c r="I304" s="381" t="s">
        <v>715</v>
      </c>
      <c r="J304" s="381" t="s">
        <v>716</v>
      </c>
      <c r="K304" s="384">
        <v>1</v>
      </c>
      <c r="L304" s="387" t="s">
        <v>3</v>
      </c>
      <c r="M304" s="390">
        <v>0</v>
      </c>
      <c r="N304" s="163"/>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c r="AX304" s="161"/>
      <c r="AY304" s="161"/>
      <c r="AZ304" s="161"/>
      <c r="BA304" s="161"/>
      <c r="BB304" s="161"/>
      <c r="BC304" s="161"/>
      <c r="BD304" s="161"/>
      <c r="BE304" s="161"/>
      <c r="BF304" s="161"/>
      <c r="BG304" s="161"/>
      <c r="BH304" s="161"/>
      <c r="BI304" s="161"/>
      <c r="BJ304" s="161"/>
      <c r="BK304" s="161"/>
      <c r="BL304" s="161"/>
      <c r="BM304" s="161"/>
      <c r="BN304" s="162"/>
      <c r="BO304" s="251"/>
      <c r="BP304" s="250"/>
      <c r="BQ304" s="250"/>
      <c r="BR304" s="250"/>
      <c r="BS304" s="250"/>
      <c r="BT304" s="250"/>
      <c r="BU304" s="250"/>
      <c r="BY304" s="250"/>
    </row>
    <row r="305" spans="3:78" ht="11.25" customHeight="1">
      <c r="C305" s="306"/>
      <c r="D305" s="367"/>
      <c r="E305" s="370"/>
      <c r="F305" s="406"/>
      <c r="G305" s="376"/>
      <c r="H305" s="379"/>
      <c r="I305" s="382"/>
      <c r="J305" s="382"/>
      <c r="K305" s="385"/>
      <c r="L305" s="388"/>
      <c r="M305" s="391"/>
      <c r="N305" s="393"/>
      <c r="O305" s="396">
        <v>1</v>
      </c>
      <c r="P305" s="399" t="s">
        <v>1297</v>
      </c>
      <c r="Q305" s="402"/>
      <c r="R305" s="361" t="s">
        <v>154</v>
      </c>
      <c r="S305" s="361" t="s">
        <v>154</v>
      </c>
      <c r="T305" s="361" t="s">
        <v>154</v>
      </c>
      <c r="U305" s="361" t="s">
        <v>154</v>
      </c>
      <c r="V305" s="361" t="s">
        <v>154</v>
      </c>
      <c r="W305" s="361" t="s">
        <v>154</v>
      </c>
      <c r="X305" s="361" t="s">
        <v>154</v>
      </c>
      <c r="Y305" s="361" t="s">
        <v>154</v>
      </c>
      <c r="Z305" s="361" t="s">
        <v>154</v>
      </c>
      <c r="AA305" s="361" t="s">
        <v>154</v>
      </c>
      <c r="AB305" s="361" t="s">
        <v>154</v>
      </c>
      <c r="AC305" s="361" t="s">
        <v>154</v>
      </c>
      <c r="AD305" s="361" t="s">
        <v>154</v>
      </c>
      <c r="AE305" s="209"/>
      <c r="AF305" s="220">
        <v>0</v>
      </c>
      <c r="AG305" s="219" t="s">
        <v>308</v>
      </c>
      <c r="AH305" s="219"/>
      <c r="AI305" s="219"/>
      <c r="AJ305" s="219"/>
      <c r="AK305" s="219"/>
      <c r="AL305" s="219"/>
      <c r="AM305" s="219"/>
      <c r="AN305" s="219"/>
      <c r="AO305" s="219"/>
      <c r="AP305" s="164"/>
      <c r="AQ305" s="164"/>
      <c r="AR305" s="164"/>
      <c r="AS305" s="164"/>
      <c r="AT305" s="164"/>
      <c r="AU305" s="164"/>
      <c r="AV305" s="164"/>
      <c r="AW305" s="164"/>
      <c r="AX305" s="164"/>
      <c r="AY305" s="164"/>
      <c r="AZ305" s="164"/>
      <c r="BA305" s="164"/>
      <c r="BB305" s="164"/>
      <c r="BC305" s="164"/>
      <c r="BD305" s="164"/>
      <c r="BE305" s="164"/>
      <c r="BF305" s="164"/>
      <c r="BG305" s="164"/>
      <c r="BH305" s="164"/>
      <c r="BI305" s="164"/>
      <c r="BJ305" s="164"/>
      <c r="BK305" s="164"/>
      <c r="BL305" s="164"/>
      <c r="BM305" s="164"/>
      <c r="BN305" s="165"/>
      <c r="BO305" s="251"/>
      <c r="BP305" s="364" t="s">
        <v>1298</v>
      </c>
      <c r="BQ305" s="364" t="s">
        <v>1298</v>
      </c>
      <c r="BR305" s="364" t="s">
        <v>1298</v>
      </c>
      <c r="BS305" s="250"/>
      <c r="BT305" s="364" t="s">
        <v>1298</v>
      </c>
      <c r="BU305" s="364" t="s">
        <v>1298</v>
      </c>
      <c r="BV305" s="364" t="s">
        <v>1298</v>
      </c>
      <c r="BW305" s="364" t="s">
        <v>1298</v>
      </c>
      <c r="BX305" s="364" t="s">
        <v>1298</v>
      </c>
      <c r="BY305" s="250"/>
    </row>
    <row r="306" spans="3:78" ht="14.25">
      <c r="C306" s="306"/>
      <c r="D306" s="367"/>
      <c r="E306" s="370"/>
      <c r="F306" s="406"/>
      <c r="G306" s="376"/>
      <c r="H306" s="379"/>
      <c r="I306" s="382"/>
      <c r="J306" s="382"/>
      <c r="K306" s="385"/>
      <c r="L306" s="388"/>
      <c r="M306" s="391"/>
      <c r="N306" s="394"/>
      <c r="O306" s="397"/>
      <c r="P306" s="400"/>
      <c r="Q306" s="403"/>
      <c r="R306" s="362"/>
      <c r="S306" s="362"/>
      <c r="T306" s="362"/>
      <c r="U306" s="362"/>
      <c r="V306" s="362"/>
      <c r="W306" s="362"/>
      <c r="X306" s="362"/>
      <c r="Y306" s="362"/>
      <c r="Z306" s="362"/>
      <c r="AA306" s="362"/>
      <c r="AB306" s="362"/>
      <c r="AC306" s="362"/>
      <c r="AD306" s="362"/>
      <c r="AE306" s="193"/>
      <c r="AF306" s="217" t="s">
        <v>268</v>
      </c>
      <c r="AG306" s="158" t="s">
        <v>221</v>
      </c>
      <c r="AH306" s="300" t="s">
        <v>19</v>
      </c>
      <c r="AI306" s="301" t="s">
        <v>154</v>
      </c>
      <c r="AJ306" s="221"/>
      <c r="AK306" s="221"/>
      <c r="AL306" s="221"/>
      <c r="AM306" s="221"/>
      <c r="AN306" s="221"/>
      <c r="AO306" s="221"/>
      <c r="AP306" s="302" t="s">
        <v>19</v>
      </c>
      <c r="AQ306" s="195">
        <f>SUM(AT306,AW306,AZ306,BC306,BF306,BI306,BL306)</f>
        <v>11222.681026734001</v>
      </c>
      <c r="AR306" s="197">
        <f>SUM(AT306,AX306,BA306,BD306,BG306,BJ306,BM306)</f>
        <v>0</v>
      </c>
      <c r="AS306" s="195">
        <f>AQ306-AR306</f>
        <v>11222.681026734001</v>
      </c>
      <c r="AT306" s="312"/>
      <c r="AU306" s="312"/>
      <c r="AV306" s="244"/>
      <c r="AW306" s="159">
        <v>11222.681026734001</v>
      </c>
      <c r="AX306" s="312"/>
      <c r="AY306" s="194">
        <f>AW306-AX306</f>
        <v>11222.681026734001</v>
      </c>
      <c r="AZ306" s="160"/>
      <c r="BA306" s="312"/>
      <c r="BB306" s="194">
        <f>AZ306-BA306</f>
        <v>0</v>
      </c>
      <c r="BC306" s="159"/>
      <c r="BD306" s="312"/>
      <c r="BE306" s="194">
        <f>BC306-BD306</f>
        <v>0</v>
      </c>
      <c r="BF306" s="159"/>
      <c r="BG306" s="244"/>
      <c r="BH306" s="194">
        <f>BF306-BG306</f>
        <v>0</v>
      </c>
      <c r="BI306" s="159"/>
      <c r="BJ306" s="244"/>
      <c r="BK306" s="194">
        <f>BI306-BJ306</f>
        <v>0</v>
      </c>
      <c r="BL306" s="312"/>
      <c r="BM306" s="312"/>
      <c r="BN306" s="195">
        <f>BL306-BM306</f>
        <v>0</v>
      </c>
      <c r="BO306" s="251">
        <v>0</v>
      </c>
      <c r="BP306" s="364"/>
      <c r="BQ306" s="364"/>
      <c r="BR306" s="364"/>
      <c r="BS306" s="249" t="str">
        <f>AG306 &amp; BO306</f>
        <v>Амортизационные отчисления0</v>
      </c>
      <c r="BT306" s="364"/>
      <c r="BU306" s="364"/>
      <c r="BV306" s="364"/>
      <c r="BW306" s="364"/>
      <c r="BX306" s="364"/>
      <c r="BY306" s="249" t="str">
        <f>AG306&amp;AH306</f>
        <v>Амортизационные отчислениянет</v>
      </c>
      <c r="BZ306" s="250"/>
    </row>
    <row r="307" spans="3:78" ht="14.25">
      <c r="C307" s="97"/>
      <c r="D307" s="367"/>
      <c r="E307" s="370"/>
      <c r="F307" s="406"/>
      <c r="G307" s="376"/>
      <c r="H307" s="379"/>
      <c r="I307" s="382"/>
      <c r="J307" s="382"/>
      <c r="K307" s="385"/>
      <c r="L307" s="388"/>
      <c r="M307" s="391"/>
      <c r="N307" s="394"/>
      <c r="O307" s="397"/>
      <c r="P307" s="400"/>
      <c r="Q307" s="403"/>
      <c r="R307" s="362"/>
      <c r="S307" s="362"/>
      <c r="T307" s="362"/>
      <c r="U307" s="362"/>
      <c r="V307" s="362"/>
      <c r="W307" s="362"/>
      <c r="X307" s="362"/>
      <c r="Y307" s="362"/>
      <c r="Z307" s="362"/>
      <c r="AA307" s="362"/>
      <c r="AB307" s="362"/>
      <c r="AC307" s="362"/>
      <c r="AD307" s="362"/>
      <c r="AE307" s="322" t="s">
        <v>1240</v>
      </c>
      <c r="AF307" s="217" t="s">
        <v>118</v>
      </c>
      <c r="AG307" s="196" t="s">
        <v>223</v>
      </c>
      <c r="AH307" s="302" t="s">
        <v>19</v>
      </c>
      <c r="AI307" s="301" t="s">
        <v>154</v>
      </c>
      <c r="AJ307" s="221"/>
      <c r="AK307" s="221"/>
      <c r="AL307" s="221"/>
      <c r="AM307" s="221"/>
      <c r="AN307" s="221"/>
      <c r="AO307" s="221"/>
      <c r="AP307" s="302" t="s">
        <v>19</v>
      </c>
      <c r="AQ307" s="195">
        <f>SUM(AT307,AW307,AZ307,BC307,BF307,BI307,BL307)</f>
        <v>2244.5362053467998</v>
      </c>
      <c r="AR307" s="197">
        <f>SUM(AT307,AX307,BA307,BD307,BG307,BJ307,BM307)</f>
        <v>0</v>
      </c>
      <c r="AS307" s="195">
        <f>AQ307-AR307</f>
        <v>2244.5362053467998</v>
      </c>
      <c r="AT307" s="315"/>
      <c r="AU307" s="315"/>
      <c r="AV307" s="241"/>
      <c r="AW307" s="198">
        <f>13467.2172320808-AW306</f>
        <v>2244.5362053467998</v>
      </c>
      <c r="AX307" s="313"/>
      <c r="AY307" s="199">
        <f>AW307-AX307</f>
        <v>2244.5362053467998</v>
      </c>
      <c r="AZ307" s="173"/>
      <c r="BA307" s="313"/>
      <c r="BB307" s="199">
        <f>AZ307-BA307</f>
        <v>0</v>
      </c>
      <c r="BC307" s="198"/>
      <c r="BD307" s="313"/>
      <c r="BE307" s="199">
        <f>BC307-BD307</f>
        <v>0</v>
      </c>
      <c r="BF307" s="198"/>
      <c r="BG307" s="241"/>
      <c r="BH307" s="199">
        <f>BF307-BG307</f>
        <v>0</v>
      </c>
      <c r="BI307" s="198"/>
      <c r="BJ307" s="241"/>
      <c r="BK307" s="199">
        <f>BI307-BJ307</f>
        <v>0</v>
      </c>
      <c r="BL307" s="313"/>
      <c r="BM307" s="313"/>
      <c r="BN307" s="195">
        <f>BL307-BM307</f>
        <v>0</v>
      </c>
      <c r="BO307" s="251">
        <v>0</v>
      </c>
      <c r="BP307" s="364"/>
      <c r="BQ307" s="364"/>
      <c r="BR307" s="364"/>
      <c r="BS307" s="249" t="str">
        <f>AG307 &amp; BO307</f>
        <v>Прочие собственные средства0</v>
      </c>
      <c r="BT307" s="364"/>
      <c r="BU307" s="364"/>
      <c r="BV307" s="364"/>
      <c r="BW307" s="364"/>
      <c r="BX307" s="364"/>
      <c r="BY307" s="249" t="str">
        <f>AG307&amp;AH307</f>
        <v>Прочие собственные средстванет</v>
      </c>
      <c r="BZ307" s="250"/>
    </row>
    <row r="308" spans="3:78" ht="15" customHeight="1">
      <c r="C308" s="306"/>
      <c r="D308" s="367"/>
      <c r="E308" s="370"/>
      <c r="F308" s="406"/>
      <c r="G308" s="376"/>
      <c r="H308" s="379"/>
      <c r="I308" s="382"/>
      <c r="J308" s="382"/>
      <c r="K308" s="385"/>
      <c r="L308" s="388"/>
      <c r="M308" s="391"/>
      <c r="N308" s="395"/>
      <c r="O308" s="398"/>
      <c r="P308" s="401"/>
      <c r="Q308" s="404"/>
      <c r="R308" s="363"/>
      <c r="S308" s="363"/>
      <c r="T308" s="363"/>
      <c r="U308" s="363"/>
      <c r="V308" s="363"/>
      <c r="W308" s="363"/>
      <c r="X308" s="363"/>
      <c r="Y308" s="363"/>
      <c r="Z308" s="363"/>
      <c r="AA308" s="363"/>
      <c r="AB308" s="363"/>
      <c r="AC308" s="363"/>
      <c r="AD308" s="363"/>
      <c r="AE308" s="279" t="s">
        <v>379</v>
      </c>
      <c r="AF308" s="203"/>
      <c r="AG308" s="223" t="s">
        <v>24</v>
      </c>
      <c r="AH308" s="223"/>
      <c r="AI308" s="223"/>
      <c r="AJ308" s="223"/>
      <c r="AK308" s="223"/>
      <c r="AL308" s="223"/>
      <c r="AM308" s="223"/>
      <c r="AN308" s="223"/>
      <c r="AO308" s="223"/>
      <c r="AP308" s="168"/>
      <c r="AQ308" s="169"/>
      <c r="AR308" s="169"/>
      <c r="AS308" s="169"/>
      <c r="AT308" s="169"/>
      <c r="AU308" s="169"/>
      <c r="AV308" s="169"/>
      <c r="AW308" s="169"/>
      <c r="AX308" s="169"/>
      <c r="AY308" s="169"/>
      <c r="AZ308" s="169"/>
      <c r="BA308" s="169"/>
      <c r="BB308" s="169"/>
      <c r="BC308" s="169"/>
      <c r="BD308" s="169"/>
      <c r="BE308" s="169"/>
      <c r="BF308" s="169"/>
      <c r="BG308" s="169"/>
      <c r="BH308" s="169"/>
      <c r="BI308" s="169"/>
      <c r="BJ308" s="169"/>
      <c r="BK308" s="169"/>
      <c r="BL308" s="169"/>
      <c r="BM308" s="169"/>
      <c r="BN308" s="170"/>
      <c r="BO308" s="251"/>
      <c r="BP308" s="364"/>
      <c r="BQ308" s="364"/>
      <c r="BR308" s="364"/>
      <c r="BS308" s="250"/>
      <c r="BT308" s="364"/>
      <c r="BU308" s="364"/>
      <c r="BV308" s="364"/>
      <c r="BW308" s="364"/>
      <c r="BX308" s="364"/>
      <c r="BY308" s="250"/>
    </row>
    <row r="309" spans="3:78" ht="15" customHeight="1" thickBot="1">
      <c r="C309" s="307"/>
      <c r="D309" s="368"/>
      <c r="E309" s="371"/>
      <c r="F309" s="407"/>
      <c r="G309" s="377"/>
      <c r="H309" s="380"/>
      <c r="I309" s="383"/>
      <c r="J309" s="383"/>
      <c r="K309" s="386"/>
      <c r="L309" s="389"/>
      <c r="M309" s="392"/>
      <c r="N309" s="280" t="s">
        <v>380</v>
      </c>
      <c r="O309" s="212"/>
      <c r="P309" s="365" t="s">
        <v>154</v>
      </c>
      <c r="Q309" s="365"/>
      <c r="R309" s="171"/>
      <c r="S309" s="171"/>
      <c r="T309" s="166"/>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7"/>
      <c r="BO309" s="251"/>
      <c r="BP309" s="250"/>
      <c r="BQ309" s="250"/>
      <c r="BR309" s="250"/>
      <c r="BS309" s="250"/>
      <c r="BT309" s="250"/>
      <c r="BU309" s="250"/>
      <c r="BY309" s="250"/>
    </row>
    <row r="310" spans="3:78" ht="11.25" customHeight="1">
      <c r="C310" s="97" t="s">
        <v>1240</v>
      </c>
      <c r="D310" s="366" t="s">
        <v>1321</v>
      </c>
      <c r="E310" s="369" t="s">
        <v>199</v>
      </c>
      <c r="F310" s="405" t="s">
        <v>209</v>
      </c>
      <c r="G310" s="375" t="s">
        <v>1507</v>
      </c>
      <c r="H310" s="378" t="s">
        <v>715</v>
      </c>
      <c r="I310" s="381" t="s">
        <v>715</v>
      </c>
      <c r="J310" s="381" t="s">
        <v>716</v>
      </c>
      <c r="K310" s="384">
        <v>1</v>
      </c>
      <c r="L310" s="387" t="s">
        <v>3</v>
      </c>
      <c r="M310" s="390">
        <v>0</v>
      </c>
      <c r="N310" s="163"/>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1"/>
      <c r="AY310" s="161"/>
      <c r="AZ310" s="161"/>
      <c r="BA310" s="161"/>
      <c r="BB310" s="161"/>
      <c r="BC310" s="161"/>
      <c r="BD310" s="161"/>
      <c r="BE310" s="161"/>
      <c r="BF310" s="161"/>
      <c r="BG310" s="161"/>
      <c r="BH310" s="161"/>
      <c r="BI310" s="161"/>
      <c r="BJ310" s="161"/>
      <c r="BK310" s="161"/>
      <c r="BL310" s="161"/>
      <c r="BM310" s="161"/>
      <c r="BN310" s="162"/>
      <c r="BO310" s="251"/>
      <c r="BP310" s="250"/>
      <c r="BQ310" s="250"/>
      <c r="BR310" s="250"/>
      <c r="BS310" s="250"/>
      <c r="BT310" s="250"/>
      <c r="BU310" s="250"/>
      <c r="BY310" s="250"/>
    </row>
    <row r="311" spans="3:78" ht="11.25" customHeight="1">
      <c r="C311" s="306"/>
      <c r="D311" s="367"/>
      <c r="E311" s="370"/>
      <c r="F311" s="406"/>
      <c r="G311" s="376"/>
      <c r="H311" s="379"/>
      <c r="I311" s="382"/>
      <c r="J311" s="382"/>
      <c r="K311" s="385"/>
      <c r="L311" s="388"/>
      <c r="M311" s="391"/>
      <c r="N311" s="393"/>
      <c r="O311" s="396">
        <v>1</v>
      </c>
      <c r="P311" s="399" t="s">
        <v>1297</v>
      </c>
      <c r="Q311" s="402"/>
      <c r="R311" s="361" t="s">
        <v>154</v>
      </c>
      <c r="S311" s="361" t="s">
        <v>154</v>
      </c>
      <c r="T311" s="361" t="s">
        <v>154</v>
      </c>
      <c r="U311" s="361" t="s">
        <v>154</v>
      </c>
      <c r="V311" s="361" t="s">
        <v>154</v>
      </c>
      <c r="W311" s="361" t="s">
        <v>154</v>
      </c>
      <c r="X311" s="361" t="s">
        <v>154</v>
      </c>
      <c r="Y311" s="361" t="s">
        <v>154</v>
      </c>
      <c r="Z311" s="361" t="s">
        <v>154</v>
      </c>
      <c r="AA311" s="361" t="s">
        <v>154</v>
      </c>
      <c r="AB311" s="361" t="s">
        <v>154</v>
      </c>
      <c r="AC311" s="361" t="s">
        <v>154</v>
      </c>
      <c r="AD311" s="361" t="s">
        <v>154</v>
      </c>
      <c r="AE311" s="209"/>
      <c r="AF311" s="220">
        <v>0</v>
      </c>
      <c r="AG311" s="219" t="s">
        <v>308</v>
      </c>
      <c r="AH311" s="219"/>
      <c r="AI311" s="219"/>
      <c r="AJ311" s="219"/>
      <c r="AK311" s="219"/>
      <c r="AL311" s="219"/>
      <c r="AM311" s="219"/>
      <c r="AN311" s="219"/>
      <c r="AO311" s="219"/>
      <c r="AP311" s="164"/>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64"/>
      <c r="BM311" s="164"/>
      <c r="BN311" s="165"/>
      <c r="BO311" s="251"/>
      <c r="BP311" s="364" t="s">
        <v>1298</v>
      </c>
      <c r="BQ311" s="364" t="s">
        <v>1298</v>
      </c>
      <c r="BR311" s="364" t="s">
        <v>1298</v>
      </c>
      <c r="BS311" s="250"/>
      <c r="BT311" s="364" t="s">
        <v>1298</v>
      </c>
      <c r="BU311" s="364" t="s">
        <v>1298</v>
      </c>
      <c r="BV311" s="364" t="s">
        <v>1298</v>
      </c>
      <c r="BW311" s="364" t="s">
        <v>1298</v>
      </c>
      <c r="BX311" s="364" t="s">
        <v>1298</v>
      </c>
      <c r="BY311" s="250"/>
    </row>
    <row r="312" spans="3:78" ht="14.25">
      <c r="C312" s="306"/>
      <c r="D312" s="367"/>
      <c r="E312" s="370"/>
      <c r="F312" s="406"/>
      <c r="G312" s="376"/>
      <c r="H312" s="379"/>
      <c r="I312" s="382"/>
      <c r="J312" s="382"/>
      <c r="K312" s="385"/>
      <c r="L312" s="388"/>
      <c r="M312" s="391"/>
      <c r="N312" s="394"/>
      <c r="O312" s="397"/>
      <c r="P312" s="400"/>
      <c r="Q312" s="403"/>
      <c r="R312" s="362"/>
      <c r="S312" s="362"/>
      <c r="T312" s="362"/>
      <c r="U312" s="362"/>
      <c r="V312" s="362"/>
      <c r="W312" s="362"/>
      <c r="X312" s="362"/>
      <c r="Y312" s="362"/>
      <c r="Z312" s="362"/>
      <c r="AA312" s="362"/>
      <c r="AB312" s="362"/>
      <c r="AC312" s="362"/>
      <c r="AD312" s="362"/>
      <c r="AE312" s="193"/>
      <c r="AF312" s="217" t="s">
        <v>268</v>
      </c>
      <c r="AG312" s="158" t="s">
        <v>221</v>
      </c>
      <c r="AH312" s="300" t="s">
        <v>19</v>
      </c>
      <c r="AI312" s="301" t="s">
        <v>154</v>
      </c>
      <c r="AJ312" s="221"/>
      <c r="AK312" s="221"/>
      <c r="AL312" s="221"/>
      <c r="AM312" s="221"/>
      <c r="AN312" s="221"/>
      <c r="AO312" s="221"/>
      <c r="AP312" s="302" t="s">
        <v>19</v>
      </c>
      <c r="AQ312" s="195">
        <f>SUM(AT312,AW312,AZ312,BC312,BF312,BI312,BL312)</f>
        <v>64575.60984704025</v>
      </c>
      <c r="AR312" s="197">
        <f>SUM(AT312,AX312,BA312,BD312,BG312,BJ312,BM312)</f>
        <v>0</v>
      </c>
      <c r="AS312" s="195">
        <f>AQ312-AR312</f>
        <v>64575.60984704025</v>
      </c>
      <c r="AT312" s="312"/>
      <c r="AU312" s="312"/>
      <c r="AV312" s="244"/>
      <c r="AW312" s="159">
        <v>64575.60984704025</v>
      </c>
      <c r="AX312" s="312"/>
      <c r="AY312" s="194">
        <f>AW312-AX312</f>
        <v>64575.60984704025</v>
      </c>
      <c r="AZ312" s="160"/>
      <c r="BA312" s="312"/>
      <c r="BB312" s="194">
        <f>AZ312-BA312</f>
        <v>0</v>
      </c>
      <c r="BC312" s="159"/>
      <c r="BD312" s="312"/>
      <c r="BE312" s="194">
        <f>BC312-BD312</f>
        <v>0</v>
      </c>
      <c r="BF312" s="159"/>
      <c r="BG312" s="244"/>
      <c r="BH312" s="194">
        <f>BF312-BG312</f>
        <v>0</v>
      </c>
      <c r="BI312" s="159"/>
      <c r="BJ312" s="244"/>
      <c r="BK312" s="194">
        <f>BI312-BJ312</f>
        <v>0</v>
      </c>
      <c r="BL312" s="312"/>
      <c r="BM312" s="312"/>
      <c r="BN312" s="195">
        <f>BL312-BM312</f>
        <v>0</v>
      </c>
      <c r="BO312" s="251">
        <v>0</v>
      </c>
      <c r="BP312" s="364"/>
      <c r="BQ312" s="364"/>
      <c r="BR312" s="364"/>
      <c r="BS312" s="249" t="str">
        <f>AG312 &amp; BO312</f>
        <v>Амортизационные отчисления0</v>
      </c>
      <c r="BT312" s="364"/>
      <c r="BU312" s="364"/>
      <c r="BV312" s="364"/>
      <c r="BW312" s="364"/>
      <c r="BX312" s="364"/>
      <c r="BY312" s="249" t="str">
        <f>AG312&amp;AH312</f>
        <v>Амортизационные отчислениянет</v>
      </c>
      <c r="BZ312" s="250"/>
    </row>
    <row r="313" spans="3:78" ht="14.25">
      <c r="C313" s="97"/>
      <c r="D313" s="367"/>
      <c r="E313" s="370"/>
      <c r="F313" s="406"/>
      <c r="G313" s="376"/>
      <c r="H313" s="379"/>
      <c r="I313" s="382"/>
      <c r="J313" s="382"/>
      <c r="K313" s="385"/>
      <c r="L313" s="388"/>
      <c r="M313" s="391"/>
      <c r="N313" s="394"/>
      <c r="O313" s="397"/>
      <c r="P313" s="400"/>
      <c r="Q313" s="403"/>
      <c r="R313" s="362"/>
      <c r="S313" s="362"/>
      <c r="T313" s="362"/>
      <c r="U313" s="362"/>
      <c r="V313" s="362"/>
      <c r="W313" s="362"/>
      <c r="X313" s="362"/>
      <c r="Y313" s="362"/>
      <c r="Z313" s="362"/>
      <c r="AA313" s="362"/>
      <c r="AB313" s="362"/>
      <c r="AC313" s="362"/>
      <c r="AD313" s="362"/>
      <c r="AE313" s="322" t="s">
        <v>1240</v>
      </c>
      <c r="AF313" s="217" t="s">
        <v>118</v>
      </c>
      <c r="AG313" s="196" t="s">
        <v>223</v>
      </c>
      <c r="AH313" s="302" t="s">
        <v>19</v>
      </c>
      <c r="AI313" s="301" t="s">
        <v>154</v>
      </c>
      <c r="AJ313" s="221"/>
      <c r="AK313" s="221"/>
      <c r="AL313" s="221"/>
      <c r="AM313" s="221"/>
      <c r="AN313" s="221"/>
      <c r="AO313" s="221"/>
      <c r="AP313" s="302" t="s">
        <v>19</v>
      </c>
      <c r="AQ313" s="195">
        <f>SUM(AT313,AW313,AZ313,BC313,BF313,BI313,BL313)</f>
        <v>12915.12196940805</v>
      </c>
      <c r="AR313" s="197">
        <f>SUM(AT313,AX313,BA313,BD313,BG313,BJ313,BM313)</f>
        <v>0</v>
      </c>
      <c r="AS313" s="195">
        <f>AQ313-AR313</f>
        <v>12915.12196940805</v>
      </c>
      <c r="AT313" s="315"/>
      <c r="AU313" s="315"/>
      <c r="AV313" s="241"/>
      <c r="AW313" s="198">
        <f>77490.7318164483-AW312</f>
        <v>12915.12196940805</v>
      </c>
      <c r="AX313" s="313"/>
      <c r="AY313" s="199">
        <f>AW313-AX313</f>
        <v>12915.12196940805</v>
      </c>
      <c r="AZ313" s="173"/>
      <c r="BA313" s="313"/>
      <c r="BB313" s="199">
        <f>AZ313-BA313</f>
        <v>0</v>
      </c>
      <c r="BC313" s="198"/>
      <c r="BD313" s="313"/>
      <c r="BE313" s="199">
        <f>BC313-BD313</f>
        <v>0</v>
      </c>
      <c r="BF313" s="198"/>
      <c r="BG313" s="241"/>
      <c r="BH313" s="199">
        <f>BF313-BG313</f>
        <v>0</v>
      </c>
      <c r="BI313" s="198"/>
      <c r="BJ313" s="241"/>
      <c r="BK313" s="199">
        <f>BI313-BJ313</f>
        <v>0</v>
      </c>
      <c r="BL313" s="313"/>
      <c r="BM313" s="313"/>
      <c r="BN313" s="195">
        <f>BL313-BM313</f>
        <v>0</v>
      </c>
      <c r="BO313" s="251">
        <v>0</v>
      </c>
      <c r="BP313" s="364"/>
      <c r="BQ313" s="364"/>
      <c r="BR313" s="364"/>
      <c r="BS313" s="249" t="str">
        <f>AG313 &amp; BO313</f>
        <v>Прочие собственные средства0</v>
      </c>
      <c r="BT313" s="364"/>
      <c r="BU313" s="364"/>
      <c r="BV313" s="364"/>
      <c r="BW313" s="364"/>
      <c r="BX313" s="364"/>
      <c r="BY313" s="249" t="str">
        <f>AG313&amp;AH313</f>
        <v>Прочие собственные средстванет</v>
      </c>
      <c r="BZ313" s="250"/>
    </row>
    <row r="314" spans="3:78" ht="15" customHeight="1">
      <c r="C314" s="306"/>
      <c r="D314" s="367"/>
      <c r="E314" s="370"/>
      <c r="F314" s="406"/>
      <c r="G314" s="376"/>
      <c r="H314" s="379"/>
      <c r="I314" s="382"/>
      <c r="J314" s="382"/>
      <c r="K314" s="385"/>
      <c r="L314" s="388"/>
      <c r="M314" s="391"/>
      <c r="N314" s="395"/>
      <c r="O314" s="398"/>
      <c r="P314" s="401"/>
      <c r="Q314" s="404"/>
      <c r="R314" s="363"/>
      <c r="S314" s="363"/>
      <c r="T314" s="363"/>
      <c r="U314" s="363"/>
      <c r="V314" s="363"/>
      <c r="W314" s="363"/>
      <c r="X314" s="363"/>
      <c r="Y314" s="363"/>
      <c r="Z314" s="363"/>
      <c r="AA314" s="363"/>
      <c r="AB314" s="363"/>
      <c r="AC314" s="363"/>
      <c r="AD314" s="363"/>
      <c r="AE314" s="279" t="s">
        <v>379</v>
      </c>
      <c r="AF314" s="203"/>
      <c r="AG314" s="223" t="s">
        <v>24</v>
      </c>
      <c r="AH314" s="223"/>
      <c r="AI314" s="223"/>
      <c r="AJ314" s="223"/>
      <c r="AK314" s="223"/>
      <c r="AL314" s="223"/>
      <c r="AM314" s="223"/>
      <c r="AN314" s="223"/>
      <c r="AO314" s="223"/>
      <c r="AP314" s="168"/>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70"/>
      <c r="BO314" s="251"/>
      <c r="BP314" s="364"/>
      <c r="BQ314" s="364"/>
      <c r="BR314" s="364"/>
      <c r="BS314" s="250"/>
      <c r="BT314" s="364"/>
      <c r="BU314" s="364"/>
      <c r="BV314" s="364"/>
      <c r="BW314" s="364"/>
      <c r="BX314" s="364"/>
      <c r="BY314" s="250"/>
    </row>
    <row r="315" spans="3:78" ht="15" customHeight="1" thickBot="1">
      <c r="C315" s="307"/>
      <c r="D315" s="368"/>
      <c r="E315" s="371"/>
      <c r="F315" s="407"/>
      <c r="G315" s="377"/>
      <c r="H315" s="380"/>
      <c r="I315" s="383"/>
      <c r="J315" s="383"/>
      <c r="K315" s="386"/>
      <c r="L315" s="389"/>
      <c r="M315" s="392"/>
      <c r="N315" s="280" t="s">
        <v>380</v>
      </c>
      <c r="O315" s="212"/>
      <c r="P315" s="365" t="s">
        <v>154</v>
      </c>
      <c r="Q315" s="365"/>
      <c r="R315" s="171"/>
      <c r="S315" s="171"/>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7"/>
      <c r="BO315" s="251"/>
      <c r="BP315" s="250"/>
      <c r="BQ315" s="250"/>
      <c r="BR315" s="250"/>
      <c r="BS315" s="250"/>
      <c r="BT315" s="250"/>
      <c r="BU315" s="250"/>
      <c r="BY315" s="250"/>
    </row>
    <row r="316" spans="3:78" ht="11.25" customHeight="1">
      <c r="C316" s="97" t="s">
        <v>1240</v>
      </c>
      <c r="D316" s="366" t="s">
        <v>1322</v>
      </c>
      <c r="E316" s="369" t="s">
        <v>199</v>
      </c>
      <c r="F316" s="405" t="s">
        <v>209</v>
      </c>
      <c r="G316" s="375" t="s">
        <v>1474</v>
      </c>
      <c r="H316" s="378" t="s">
        <v>715</v>
      </c>
      <c r="I316" s="381" t="s">
        <v>715</v>
      </c>
      <c r="J316" s="381" t="s">
        <v>716</v>
      </c>
      <c r="K316" s="384">
        <v>1</v>
      </c>
      <c r="L316" s="387" t="s">
        <v>4</v>
      </c>
      <c r="M316" s="390">
        <v>0</v>
      </c>
      <c r="N316" s="163"/>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c r="AX316" s="161"/>
      <c r="AY316" s="161"/>
      <c r="AZ316" s="161"/>
      <c r="BA316" s="161"/>
      <c r="BB316" s="161"/>
      <c r="BC316" s="161"/>
      <c r="BD316" s="161"/>
      <c r="BE316" s="161"/>
      <c r="BF316" s="161"/>
      <c r="BG316" s="161"/>
      <c r="BH316" s="161"/>
      <c r="BI316" s="161"/>
      <c r="BJ316" s="161"/>
      <c r="BK316" s="161"/>
      <c r="BL316" s="161"/>
      <c r="BM316" s="161"/>
      <c r="BN316" s="162"/>
      <c r="BO316" s="251"/>
      <c r="BP316" s="250"/>
      <c r="BQ316" s="250"/>
      <c r="BR316" s="250"/>
      <c r="BS316" s="250"/>
      <c r="BT316" s="250"/>
      <c r="BU316" s="250"/>
      <c r="BY316" s="250"/>
    </row>
    <row r="317" spans="3:78" ht="11.25" customHeight="1">
      <c r="C317" s="306"/>
      <c r="D317" s="367"/>
      <c r="E317" s="370"/>
      <c r="F317" s="406"/>
      <c r="G317" s="376"/>
      <c r="H317" s="379"/>
      <c r="I317" s="382"/>
      <c r="J317" s="382"/>
      <c r="K317" s="385"/>
      <c r="L317" s="388"/>
      <c r="M317" s="391"/>
      <c r="N317" s="393"/>
      <c r="O317" s="396">
        <v>1</v>
      </c>
      <c r="P317" s="399" t="s">
        <v>1297</v>
      </c>
      <c r="Q317" s="402"/>
      <c r="R317" s="361" t="s">
        <v>154</v>
      </c>
      <c r="S317" s="361" t="s">
        <v>154</v>
      </c>
      <c r="T317" s="361" t="s">
        <v>154</v>
      </c>
      <c r="U317" s="361" t="s">
        <v>154</v>
      </c>
      <c r="V317" s="361" t="s">
        <v>154</v>
      </c>
      <c r="W317" s="361" t="s">
        <v>154</v>
      </c>
      <c r="X317" s="361" t="s">
        <v>154</v>
      </c>
      <c r="Y317" s="361" t="s">
        <v>154</v>
      </c>
      <c r="Z317" s="361" t="s">
        <v>154</v>
      </c>
      <c r="AA317" s="361" t="s">
        <v>154</v>
      </c>
      <c r="AB317" s="361" t="s">
        <v>154</v>
      </c>
      <c r="AC317" s="361" t="s">
        <v>154</v>
      </c>
      <c r="AD317" s="361" t="s">
        <v>154</v>
      </c>
      <c r="AE317" s="209"/>
      <c r="AF317" s="220">
        <v>0</v>
      </c>
      <c r="AG317" s="219" t="s">
        <v>308</v>
      </c>
      <c r="AH317" s="219"/>
      <c r="AI317" s="219"/>
      <c r="AJ317" s="219"/>
      <c r="AK317" s="219"/>
      <c r="AL317" s="219"/>
      <c r="AM317" s="219"/>
      <c r="AN317" s="219"/>
      <c r="AO317" s="219"/>
      <c r="AP317" s="164"/>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64"/>
      <c r="BM317" s="164"/>
      <c r="BN317" s="165"/>
      <c r="BO317" s="251"/>
      <c r="BP317" s="364" t="s">
        <v>1298</v>
      </c>
      <c r="BQ317" s="364" t="s">
        <v>1298</v>
      </c>
      <c r="BR317" s="364" t="s">
        <v>1298</v>
      </c>
      <c r="BS317" s="250"/>
      <c r="BT317" s="364" t="s">
        <v>1298</v>
      </c>
      <c r="BU317" s="364" t="s">
        <v>1298</v>
      </c>
      <c r="BV317" s="364" t="s">
        <v>1298</v>
      </c>
      <c r="BW317" s="364" t="s">
        <v>1298</v>
      </c>
      <c r="BX317" s="364" t="s">
        <v>1298</v>
      </c>
      <c r="BY317" s="250"/>
    </row>
    <row r="318" spans="3:78" ht="14.25">
      <c r="C318" s="306"/>
      <c r="D318" s="367"/>
      <c r="E318" s="370"/>
      <c r="F318" s="406"/>
      <c r="G318" s="376"/>
      <c r="H318" s="379"/>
      <c r="I318" s="382"/>
      <c r="J318" s="382"/>
      <c r="K318" s="385"/>
      <c r="L318" s="388"/>
      <c r="M318" s="391"/>
      <c r="N318" s="394"/>
      <c r="O318" s="397"/>
      <c r="P318" s="400"/>
      <c r="Q318" s="403"/>
      <c r="R318" s="362"/>
      <c r="S318" s="362"/>
      <c r="T318" s="362"/>
      <c r="U318" s="362"/>
      <c r="V318" s="362"/>
      <c r="W318" s="362"/>
      <c r="X318" s="362"/>
      <c r="Y318" s="362"/>
      <c r="Z318" s="362"/>
      <c r="AA318" s="362"/>
      <c r="AB318" s="362"/>
      <c r="AC318" s="362"/>
      <c r="AD318" s="362"/>
      <c r="AE318" s="193"/>
      <c r="AF318" s="217" t="s">
        <v>268</v>
      </c>
      <c r="AG318" s="158" t="s">
        <v>221</v>
      </c>
      <c r="AH318" s="300" t="s">
        <v>19</v>
      </c>
      <c r="AI318" s="301" t="s">
        <v>154</v>
      </c>
      <c r="AJ318" s="221"/>
      <c r="AK318" s="221"/>
      <c r="AL318" s="221"/>
      <c r="AM318" s="221"/>
      <c r="AN318" s="221"/>
      <c r="AO318" s="221"/>
      <c r="AP318" s="302" t="s">
        <v>19</v>
      </c>
      <c r="AQ318" s="195">
        <f>SUM(AT318,AW318,AZ318,BC318,BF318,BI318,BL318)</f>
        <v>72936.399437521672</v>
      </c>
      <c r="AR318" s="197">
        <f>SUM(AT318,AX318,BA318,BD318,BG318,BJ318,BM318)</f>
        <v>0</v>
      </c>
      <c r="AS318" s="195">
        <f>AQ318-AR318</f>
        <v>72936.399437521672</v>
      </c>
      <c r="AT318" s="312"/>
      <c r="AU318" s="312"/>
      <c r="AV318" s="244"/>
      <c r="AW318" s="159"/>
      <c r="AX318" s="312"/>
      <c r="AY318" s="194">
        <f>AW318-AX318</f>
        <v>0</v>
      </c>
      <c r="AZ318" s="160">
        <v>72936.399437521672</v>
      </c>
      <c r="BA318" s="312"/>
      <c r="BB318" s="194">
        <f>AZ318-BA318</f>
        <v>72936.399437521672</v>
      </c>
      <c r="BC318" s="159"/>
      <c r="BD318" s="312"/>
      <c r="BE318" s="194">
        <f>BC318-BD318</f>
        <v>0</v>
      </c>
      <c r="BF318" s="159"/>
      <c r="BG318" s="244"/>
      <c r="BH318" s="194">
        <f>BF318-BG318</f>
        <v>0</v>
      </c>
      <c r="BI318" s="159"/>
      <c r="BJ318" s="244"/>
      <c r="BK318" s="194">
        <f>BI318-BJ318</f>
        <v>0</v>
      </c>
      <c r="BL318" s="312"/>
      <c r="BM318" s="312"/>
      <c r="BN318" s="195">
        <f>BL318-BM318</f>
        <v>0</v>
      </c>
      <c r="BO318" s="251">
        <v>0</v>
      </c>
      <c r="BP318" s="364"/>
      <c r="BQ318" s="364"/>
      <c r="BR318" s="364"/>
      <c r="BS318" s="249" t="str">
        <f>AG318 &amp; BO318</f>
        <v>Амортизационные отчисления0</v>
      </c>
      <c r="BT318" s="364"/>
      <c r="BU318" s="364"/>
      <c r="BV318" s="364"/>
      <c r="BW318" s="364"/>
      <c r="BX318" s="364"/>
      <c r="BY318" s="249" t="str">
        <f>AG318&amp;AH318</f>
        <v>Амортизационные отчислениянет</v>
      </c>
      <c r="BZ318" s="250"/>
    </row>
    <row r="319" spans="3:78" ht="14.25">
      <c r="C319" s="97"/>
      <c r="D319" s="367"/>
      <c r="E319" s="370"/>
      <c r="F319" s="406"/>
      <c r="G319" s="376"/>
      <c r="H319" s="379"/>
      <c r="I319" s="382"/>
      <c r="J319" s="382"/>
      <c r="K319" s="385"/>
      <c r="L319" s="388"/>
      <c r="M319" s="391"/>
      <c r="N319" s="394"/>
      <c r="O319" s="397"/>
      <c r="P319" s="400"/>
      <c r="Q319" s="403"/>
      <c r="R319" s="362"/>
      <c r="S319" s="362"/>
      <c r="T319" s="362"/>
      <c r="U319" s="362"/>
      <c r="V319" s="362"/>
      <c r="W319" s="362"/>
      <c r="X319" s="362"/>
      <c r="Y319" s="362"/>
      <c r="Z319" s="362"/>
      <c r="AA319" s="362"/>
      <c r="AB319" s="362"/>
      <c r="AC319" s="362"/>
      <c r="AD319" s="362"/>
      <c r="AE319" s="322" t="s">
        <v>1240</v>
      </c>
      <c r="AF319" s="217" t="s">
        <v>118</v>
      </c>
      <c r="AG319" s="196" t="s">
        <v>223</v>
      </c>
      <c r="AH319" s="302" t="s">
        <v>19</v>
      </c>
      <c r="AI319" s="301" t="s">
        <v>154</v>
      </c>
      <c r="AJ319" s="221"/>
      <c r="AK319" s="221"/>
      <c r="AL319" s="221"/>
      <c r="AM319" s="221"/>
      <c r="AN319" s="221"/>
      <c r="AO319" s="221"/>
      <c r="AP319" s="302" t="s">
        <v>19</v>
      </c>
      <c r="AQ319" s="195">
        <f>SUM(AT319,AW319,AZ319,BC319,BF319,BI319,BL319)</f>
        <v>14587.279887504323</v>
      </c>
      <c r="AR319" s="197">
        <f>SUM(AT319,AX319,BA319,BD319,BG319,BJ319,BM319)</f>
        <v>0</v>
      </c>
      <c r="AS319" s="195">
        <f>AQ319-AR319</f>
        <v>14587.279887504323</v>
      </c>
      <c r="AT319" s="315"/>
      <c r="AU319" s="315"/>
      <c r="AV319" s="241"/>
      <c r="AW319" s="198"/>
      <c r="AX319" s="313"/>
      <c r="AY319" s="199">
        <f>AW319-AX319</f>
        <v>0</v>
      </c>
      <c r="AZ319" s="173">
        <f>87523.679325026-AZ318</f>
        <v>14587.279887504323</v>
      </c>
      <c r="BA319" s="313"/>
      <c r="BB319" s="199">
        <f>AZ319-BA319</f>
        <v>14587.279887504323</v>
      </c>
      <c r="BC319" s="198"/>
      <c r="BD319" s="313"/>
      <c r="BE319" s="199">
        <f>BC319-BD319</f>
        <v>0</v>
      </c>
      <c r="BF319" s="198"/>
      <c r="BG319" s="241"/>
      <c r="BH319" s="199">
        <f>BF319-BG319</f>
        <v>0</v>
      </c>
      <c r="BI319" s="198"/>
      <c r="BJ319" s="241"/>
      <c r="BK319" s="199">
        <f>BI319-BJ319</f>
        <v>0</v>
      </c>
      <c r="BL319" s="313"/>
      <c r="BM319" s="313"/>
      <c r="BN319" s="195">
        <f>BL319-BM319</f>
        <v>0</v>
      </c>
      <c r="BO319" s="251">
        <v>0</v>
      </c>
      <c r="BP319" s="364"/>
      <c r="BQ319" s="364"/>
      <c r="BR319" s="364"/>
      <c r="BS319" s="249" t="str">
        <f>AG319 &amp; BO319</f>
        <v>Прочие собственные средства0</v>
      </c>
      <c r="BT319" s="364"/>
      <c r="BU319" s="364"/>
      <c r="BV319" s="364"/>
      <c r="BW319" s="364"/>
      <c r="BX319" s="364"/>
      <c r="BY319" s="249" t="str">
        <f>AG319&amp;AH319</f>
        <v>Прочие собственные средстванет</v>
      </c>
      <c r="BZ319" s="250"/>
    </row>
    <row r="320" spans="3:78" ht="15" customHeight="1">
      <c r="C320" s="306"/>
      <c r="D320" s="367"/>
      <c r="E320" s="370"/>
      <c r="F320" s="406"/>
      <c r="G320" s="376"/>
      <c r="H320" s="379"/>
      <c r="I320" s="382"/>
      <c r="J320" s="382"/>
      <c r="K320" s="385"/>
      <c r="L320" s="388"/>
      <c r="M320" s="391"/>
      <c r="N320" s="395"/>
      <c r="O320" s="398"/>
      <c r="P320" s="401"/>
      <c r="Q320" s="404"/>
      <c r="R320" s="363"/>
      <c r="S320" s="363"/>
      <c r="T320" s="363"/>
      <c r="U320" s="363"/>
      <c r="V320" s="363"/>
      <c r="W320" s="363"/>
      <c r="X320" s="363"/>
      <c r="Y320" s="363"/>
      <c r="Z320" s="363"/>
      <c r="AA320" s="363"/>
      <c r="AB320" s="363"/>
      <c r="AC320" s="363"/>
      <c r="AD320" s="363"/>
      <c r="AE320" s="279" t="s">
        <v>379</v>
      </c>
      <c r="AF320" s="203"/>
      <c r="AG320" s="223" t="s">
        <v>24</v>
      </c>
      <c r="AH320" s="223"/>
      <c r="AI320" s="223"/>
      <c r="AJ320" s="223"/>
      <c r="AK320" s="223"/>
      <c r="AL320" s="223"/>
      <c r="AM320" s="223"/>
      <c r="AN320" s="223"/>
      <c r="AO320" s="223"/>
      <c r="AP320" s="168"/>
      <c r="AQ320" s="169"/>
      <c r="AR320" s="169"/>
      <c r="AS320" s="169"/>
      <c r="AT320" s="169"/>
      <c r="AU320" s="169"/>
      <c r="AV320" s="169"/>
      <c r="AW320" s="169"/>
      <c r="AX320" s="169"/>
      <c r="AY320" s="169"/>
      <c r="AZ320" s="169"/>
      <c r="BA320" s="169"/>
      <c r="BB320" s="169"/>
      <c r="BC320" s="169"/>
      <c r="BD320" s="169"/>
      <c r="BE320" s="169"/>
      <c r="BF320" s="169"/>
      <c r="BG320" s="169"/>
      <c r="BH320" s="169"/>
      <c r="BI320" s="169"/>
      <c r="BJ320" s="169"/>
      <c r="BK320" s="169"/>
      <c r="BL320" s="169"/>
      <c r="BM320" s="169"/>
      <c r="BN320" s="170"/>
      <c r="BO320" s="251"/>
      <c r="BP320" s="364"/>
      <c r="BQ320" s="364"/>
      <c r="BR320" s="364"/>
      <c r="BS320" s="250"/>
      <c r="BT320" s="364"/>
      <c r="BU320" s="364"/>
      <c r="BV320" s="364"/>
      <c r="BW320" s="364"/>
      <c r="BX320" s="364"/>
      <c r="BY320" s="250"/>
    </row>
    <row r="321" spans="3:78" ht="15" customHeight="1" thickBot="1">
      <c r="C321" s="307"/>
      <c r="D321" s="368"/>
      <c r="E321" s="371"/>
      <c r="F321" s="407"/>
      <c r="G321" s="377"/>
      <c r="H321" s="380"/>
      <c r="I321" s="383"/>
      <c r="J321" s="383"/>
      <c r="K321" s="386"/>
      <c r="L321" s="389"/>
      <c r="M321" s="392"/>
      <c r="N321" s="280" t="s">
        <v>380</v>
      </c>
      <c r="O321" s="212"/>
      <c r="P321" s="365" t="s">
        <v>154</v>
      </c>
      <c r="Q321" s="365"/>
      <c r="R321" s="171"/>
      <c r="S321" s="171"/>
      <c r="T321" s="166"/>
      <c r="U321" s="166"/>
      <c r="V321" s="166"/>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7"/>
      <c r="BO321" s="251"/>
      <c r="BP321" s="250"/>
      <c r="BQ321" s="250"/>
      <c r="BR321" s="250"/>
      <c r="BS321" s="250"/>
      <c r="BT321" s="250"/>
      <c r="BU321" s="250"/>
      <c r="BY321" s="250"/>
    </row>
    <row r="322" spans="3:78" ht="11.25" customHeight="1">
      <c r="C322" s="97" t="s">
        <v>1240</v>
      </c>
      <c r="D322" s="366" t="s">
        <v>1323</v>
      </c>
      <c r="E322" s="369" t="s">
        <v>199</v>
      </c>
      <c r="F322" s="405" t="s">
        <v>209</v>
      </c>
      <c r="G322" s="375" t="s">
        <v>1330</v>
      </c>
      <c r="H322" s="378" t="s">
        <v>715</v>
      </c>
      <c r="I322" s="381" t="s">
        <v>715</v>
      </c>
      <c r="J322" s="381" t="s">
        <v>716</v>
      </c>
      <c r="K322" s="384">
        <v>1</v>
      </c>
      <c r="L322" s="387" t="s">
        <v>4</v>
      </c>
      <c r="M322" s="390">
        <v>0</v>
      </c>
      <c r="N322" s="163"/>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c r="AX322" s="161"/>
      <c r="AY322" s="161"/>
      <c r="AZ322" s="161"/>
      <c r="BA322" s="161"/>
      <c r="BB322" s="161"/>
      <c r="BC322" s="161"/>
      <c r="BD322" s="161"/>
      <c r="BE322" s="161"/>
      <c r="BF322" s="161"/>
      <c r="BG322" s="161"/>
      <c r="BH322" s="161"/>
      <c r="BI322" s="161"/>
      <c r="BJ322" s="161"/>
      <c r="BK322" s="161"/>
      <c r="BL322" s="161"/>
      <c r="BM322" s="161"/>
      <c r="BN322" s="162"/>
      <c r="BO322" s="251"/>
      <c r="BP322" s="250"/>
      <c r="BQ322" s="250"/>
      <c r="BR322" s="250"/>
      <c r="BS322" s="250"/>
      <c r="BT322" s="250"/>
      <c r="BU322" s="250"/>
      <c r="BY322" s="250"/>
    </row>
    <row r="323" spans="3:78" ht="11.25" customHeight="1">
      <c r="C323" s="306"/>
      <c r="D323" s="367"/>
      <c r="E323" s="370"/>
      <c r="F323" s="406"/>
      <c r="G323" s="376"/>
      <c r="H323" s="379"/>
      <c r="I323" s="382"/>
      <c r="J323" s="382"/>
      <c r="K323" s="385"/>
      <c r="L323" s="388"/>
      <c r="M323" s="391"/>
      <c r="N323" s="393"/>
      <c r="O323" s="396">
        <v>1</v>
      </c>
      <c r="P323" s="399" t="s">
        <v>1297</v>
      </c>
      <c r="Q323" s="402"/>
      <c r="R323" s="361" t="s">
        <v>154</v>
      </c>
      <c r="S323" s="361" t="s">
        <v>154</v>
      </c>
      <c r="T323" s="361" t="s">
        <v>154</v>
      </c>
      <c r="U323" s="361" t="s">
        <v>154</v>
      </c>
      <c r="V323" s="361" t="s">
        <v>154</v>
      </c>
      <c r="W323" s="361" t="s">
        <v>154</v>
      </c>
      <c r="X323" s="361" t="s">
        <v>154</v>
      </c>
      <c r="Y323" s="361" t="s">
        <v>154</v>
      </c>
      <c r="Z323" s="361" t="s">
        <v>154</v>
      </c>
      <c r="AA323" s="361" t="s">
        <v>154</v>
      </c>
      <c r="AB323" s="361" t="s">
        <v>154</v>
      </c>
      <c r="AC323" s="361" t="s">
        <v>154</v>
      </c>
      <c r="AD323" s="361" t="s">
        <v>154</v>
      </c>
      <c r="AE323" s="209"/>
      <c r="AF323" s="220">
        <v>0</v>
      </c>
      <c r="AG323" s="219" t="s">
        <v>308</v>
      </c>
      <c r="AH323" s="219"/>
      <c r="AI323" s="219"/>
      <c r="AJ323" s="219"/>
      <c r="AK323" s="219"/>
      <c r="AL323" s="219"/>
      <c r="AM323" s="219"/>
      <c r="AN323" s="219"/>
      <c r="AO323" s="219"/>
      <c r="AP323" s="164"/>
      <c r="AQ323" s="164"/>
      <c r="AR323" s="164"/>
      <c r="AS323" s="164"/>
      <c r="AT323" s="164"/>
      <c r="AU323" s="164"/>
      <c r="AV323" s="164"/>
      <c r="AW323" s="164"/>
      <c r="AX323" s="164"/>
      <c r="AY323" s="164"/>
      <c r="AZ323" s="164"/>
      <c r="BA323" s="164"/>
      <c r="BB323" s="164"/>
      <c r="BC323" s="164"/>
      <c r="BD323" s="164"/>
      <c r="BE323" s="164"/>
      <c r="BF323" s="164"/>
      <c r="BG323" s="164"/>
      <c r="BH323" s="164"/>
      <c r="BI323" s="164"/>
      <c r="BJ323" s="164"/>
      <c r="BK323" s="164"/>
      <c r="BL323" s="164"/>
      <c r="BM323" s="164"/>
      <c r="BN323" s="165"/>
      <c r="BO323" s="251"/>
      <c r="BP323" s="364" t="s">
        <v>1298</v>
      </c>
      <c r="BQ323" s="364" t="s">
        <v>1298</v>
      </c>
      <c r="BR323" s="364" t="s">
        <v>1298</v>
      </c>
      <c r="BS323" s="250"/>
      <c r="BT323" s="364" t="s">
        <v>1298</v>
      </c>
      <c r="BU323" s="364" t="s">
        <v>1298</v>
      </c>
      <c r="BV323" s="364" t="s">
        <v>1298</v>
      </c>
      <c r="BW323" s="364" t="s">
        <v>1298</v>
      </c>
      <c r="BX323" s="364" t="s">
        <v>1298</v>
      </c>
      <c r="BY323" s="250"/>
    </row>
    <row r="324" spans="3:78" ht="14.25">
      <c r="C324" s="306"/>
      <c r="D324" s="367"/>
      <c r="E324" s="370"/>
      <c r="F324" s="406"/>
      <c r="G324" s="376"/>
      <c r="H324" s="379"/>
      <c r="I324" s="382"/>
      <c r="J324" s="382"/>
      <c r="K324" s="385"/>
      <c r="L324" s="388"/>
      <c r="M324" s="391"/>
      <c r="N324" s="394"/>
      <c r="O324" s="397"/>
      <c r="P324" s="400"/>
      <c r="Q324" s="403"/>
      <c r="R324" s="362"/>
      <c r="S324" s="362"/>
      <c r="T324" s="362"/>
      <c r="U324" s="362"/>
      <c r="V324" s="362"/>
      <c r="W324" s="362"/>
      <c r="X324" s="362"/>
      <c r="Y324" s="362"/>
      <c r="Z324" s="362"/>
      <c r="AA324" s="362"/>
      <c r="AB324" s="362"/>
      <c r="AC324" s="362"/>
      <c r="AD324" s="362"/>
      <c r="AE324" s="193"/>
      <c r="AF324" s="217" t="s">
        <v>268</v>
      </c>
      <c r="AG324" s="158" t="s">
        <v>221</v>
      </c>
      <c r="AH324" s="300" t="s">
        <v>19</v>
      </c>
      <c r="AI324" s="301" t="s">
        <v>154</v>
      </c>
      <c r="AJ324" s="221"/>
      <c r="AK324" s="221"/>
      <c r="AL324" s="221"/>
      <c r="AM324" s="221"/>
      <c r="AN324" s="221"/>
      <c r="AO324" s="221"/>
      <c r="AP324" s="302" t="s">
        <v>19</v>
      </c>
      <c r="AQ324" s="195">
        <f>SUM(AT324,AW324,AZ324,BC324,BF324,BI324,BL324)</f>
        <v>30214.773828090089</v>
      </c>
      <c r="AR324" s="197">
        <f>SUM(AT324,AX324,BA324,BD324,BG324,BJ324,BM324)</f>
        <v>0</v>
      </c>
      <c r="AS324" s="195">
        <f>AQ324-AR324</f>
        <v>30214.773828090089</v>
      </c>
      <c r="AT324" s="312"/>
      <c r="AU324" s="312"/>
      <c r="AV324" s="244"/>
      <c r="AW324" s="159">
        <v>30214.773828090089</v>
      </c>
      <c r="AX324" s="312"/>
      <c r="AY324" s="194">
        <f>AW324-AX324</f>
        <v>30214.773828090089</v>
      </c>
      <c r="AZ324" s="160"/>
      <c r="BA324" s="312"/>
      <c r="BB324" s="194">
        <f>AZ324-BA324</f>
        <v>0</v>
      </c>
      <c r="BC324" s="159"/>
      <c r="BD324" s="312"/>
      <c r="BE324" s="194">
        <f>BC324-BD324</f>
        <v>0</v>
      </c>
      <c r="BF324" s="159"/>
      <c r="BG324" s="244"/>
      <c r="BH324" s="194">
        <f>BF324-BG324</f>
        <v>0</v>
      </c>
      <c r="BI324" s="159"/>
      <c r="BJ324" s="244"/>
      <c r="BK324" s="194">
        <f>BI324-BJ324</f>
        <v>0</v>
      </c>
      <c r="BL324" s="312"/>
      <c r="BM324" s="312"/>
      <c r="BN324" s="195">
        <f>BL324-BM324</f>
        <v>0</v>
      </c>
      <c r="BO324" s="251">
        <v>0</v>
      </c>
      <c r="BP324" s="364"/>
      <c r="BQ324" s="364"/>
      <c r="BR324" s="364"/>
      <c r="BS324" s="249" t="str">
        <f>AG324 &amp; BO324</f>
        <v>Амортизационные отчисления0</v>
      </c>
      <c r="BT324" s="364"/>
      <c r="BU324" s="364"/>
      <c r="BV324" s="364"/>
      <c r="BW324" s="364"/>
      <c r="BX324" s="364"/>
      <c r="BY324" s="249" t="str">
        <f>AG324&amp;AH324</f>
        <v>Амортизационные отчислениянет</v>
      </c>
      <c r="BZ324" s="250"/>
    </row>
    <row r="325" spans="3:78" ht="14.25">
      <c r="C325" s="97"/>
      <c r="D325" s="367"/>
      <c r="E325" s="370"/>
      <c r="F325" s="406"/>
      <c r="G325" s="376"/>
      <c r="H325" s="379"/>
      <c r="I325" s="382"/>
      <c r="J325" s="382"/>
      <c r="K325" s="385"/>
      <c r="L325" s="388"/>
      <c r="M325" s="391"/>
      <c r="N325" s="394"/>
      <c r="O325" s="397"/>
      <c r="P325" s="400"/>
      <c r="Q325" s="403"/>
      <c r="R325" s="362"/>
      <c r="S325" s="362"/>
      <c r="T325" s="362"/>
      <c r="U325" s="362"/>
      <c r="V325" s="362"/>
      <c r="W325" s="362"/>
      <c r="X325" s="362"/>
      <c r="Y325" s="362"/>
      <c r="Z325" s="362"/>
      <c r="AA325" s="362"/>
      <c r="AB325" s="362"/>
      <c r="AC325" s="362"/>
      <c r="AD325" s="362"/>
      <c r="AE325" s="322" t="s">
        <v>1240</v>
      </c>
      <c r="AF325" s="217" t="s">
        <v>118</v>
      </c>
      <c r="AG325" s="196" t="s">
        <v>223</v>
      </c>
      <c r="AH325" s="302" t="s">
        <v>19</v>
      </c>
      <c r="AI325" s="301" t="s">
        <v>154</v>
      </c>
      <c r="AJ325" s="221"/>
      <c r="AK325" s="221"/>
      <c r="AL325" s="221"/>
      <c r="AM325" s="221"/>
      <c r="AN325" s="221"/>
      <c r="AO325" s="221"/>
      <c r="AP325" s="302" t="s">
        <v>19</v>
      </c>
      <c r="AQ325" s="195">
        <f>SUM(AT325,AW325,AZ325,BC325,BF325,BI325,BL325)</f>
        <v>6042.9547656180148</v>
      </c>
      <c r="AR325" s="197">
        <f>SUM(AT325,AX325,BA325,BD325,BG325,BJ325,BM325)</f>
        <v>0</v>
      </c>
      <c r="AS325" s="195">
        <f>AQ325-AR325</f>
        <v>6042.9547656180148</v>
      </c>
      <c r="AT325" s="315"/>
      <c r="AU325" s="315"/>
      <c r="AV325" s="241"/>
      <c r="AW325" s="198">
        <f>36257.7285937081-AW324</f>
        <v>6042.9547656180148</v>
      </c>
      <c r="AX325" s="313"/>
      <c r="AY325" s="199">
        <f>AW325-AX325</f>
        <v>6042.9547656180148</v>
      </c>
      <c r="AZ325" s="173"/>
      <c r="BA325" s="313"/>
      <c r="BB325" s="199">
        <f>AZ325-BA325</f>
        <v>0</v>
      </c>
      <c r="BC325" s="198"/>
      <c r="BD325" s="313"/>
      <c r="BE325" s="199">
        <f>BC325-BD325</f>
        <v>0</v>
      </c>
      <c r="BF325" s="198"/>
      <c r="BG325" s="241"/>
      <c r="BH325" s="199">
        <f>BF325-BG325</f>
        <v>0</v>
      </c>
      <c r="BI325" s="198"/>
      <c r="BJ325" s="241"/>
      <c r="BK325" s="199">
        <f>BI325-BJ325</f>
        <v>0</v>
      </c>
      <c r="BL325" s="313"/>
      <c r="BM325" s="313"/>
      <c r="BN325" s="195">
        <f>BL325-BM325</f>
        <v>0</v>
      </c>
      <c r="BO325" s="251">
        <v>0</v>
      </c>
      <c r="BP325" s="364"/>
      <c r="BQ325" s="364"/>
      <c r="BR325" s="364"/>
      <c r="BS325" s="249" t="str">
        <f>AG325 &amp; BO325</f>
        <v>Прочие собственные средства0</v>
      </c>
      <c r="BT325" s="364"/>
      <c r="BU325" s="364"/>
      <c r="BV325" s="364"/>
      <c r="BW325" s="364"/>
      <c r="BX325" s="364"/>
      <c r="BY325" s="249" t="str">
        <f>AG325&amp;AH325</f>
        <v>Прочие собственные средстванет</v>
      </c>
      <c r="BZ325" s="250"/>
    </row>
    <row r="326" spans="3:78" ht="15" customHeight="1">
      <c r="C326" s="306"/>
      <c r="D326" s="367"/>
      <c r="E326" s="370"/>
      <c r="F326" s="406"/>
      <c r="G326" s="376"/>
      <c r="H326" s="379"/>
      <c r="I326" s="382"/>
      <c r="J326" s="382"/>
      <c r="K326" s="385"/>
      <c r="L326" s="388"/>
      <c r="M326" s="391"/>
      <c r="N326" s="395"/>
      <c r="O326" s="398"/>
      <c r="P326" s="401"/>
      <c r="Q326" s="404"/>
      <c r="R326" s="363"/>
      <c r="S326" s="363"/>
      <c r="T326" s="363"/>
      <c r="U326" s="363"/>
      <c r="V326" s="363"/>
      <c r="W326" s="363"/>
      <c r="X326" s="363"/>
      <c r="Y326" s="363"/>
      <c r="Z326" s="363"/>
      <c r="AA326" s="363"/>
      <c r="AB326" s="363"/>
      <c r="AC326" s="363"/>
      <c r="AD326" s="363"/>
      <c r="AE326" s="279" t="s">
        <v>379</v>
      </c>
      <c r="AF326" s="203"/>
      <c r="AG326" s="223" t="s">
        <v>24</v>
      </c>
      <c r="AH326" s="223"/>
      <c r="AI326" s="223"/>
      <c r="AJ326" s="223"/>
      <c r="AK326" s="223"/>
      <c r="AL326" s="223"/>
      <c r="AM326" s="223"/>
      <c r="AN326" s="223"/>
      <c r="AO326" s="223"/>
      <c r="AP326" s="168"/>
      <c r="AQ326" s="169"/>
      <c r="AR326" s="169"/>
      <c r="AS326" s="169"/>
      <c r="AT326" s="169"/>
      <c r="AU326" s="169"/>
      <c r="AV326" s="169"/>
      <c r="AW326" s="169"/>
      <c r="AX326" s="169"/>
      <c r="AY326" s="169"/>
      <c r="AZ326" s="169"/>
      <c r="BA326" s="169"/>
      <c r="BB326" s="169"/>
      <c r="BC326" s="169"/>
      <c r="BD326" s="169"/>
      <c r="BE326" s="169"/>
      <c r="BF326" s="169"/>
      <c r="BG326" s="169"/>
      <c r="BH326" s="169"/>
      <c r="BI326" s="169"/>
      <c r="BJ326" s="169"/>
      <c r="BK326" s="169"/>
      <c r="BL326" s="169"/>
      <c r="BM326" s="169"/>
      <c r="BN326" s="170"/>
      <c r="BO326" s="251"/>
      <c r="BP326" s="364"/>
      <c r="BQ326" s="364"/>
      <c r="BR326" s="364"/>
      <c r="BS326" s="250"/>
      <c r="BT326" s="364"/>
      <c r="BU326" s="364"/>
      <c r="BV326" s="364"/>
      <c r="BW326" s="364"/>
      <c r="BX326" s="364"/>
      <c r="BY326" s="250"/>
    </row>
    <row r="327" spans="3:78" ht="15" customHeight="1" thickBot="1">
      <c r="C327" s="307"/>
      <c r="D327" s="368"/>
      <c r="E327" s="371"/>
      <c r="F327" s="407"/>
      <c r="G327" s="377"/>
      <c r="H327" s="380"/>
      <c r="I327" s="383"/>
      <c r="J327" s="383"/>
      <c r="K327" s="386"/>
      <c r="L327" s="389"/>
      <c r="M327" s="392"/>
      <c r="N327" s="280" t="s">
        <v>380</v>
      </c>
      <c r="O327" s="212"/>
      <c r="P327" s="365" t="s">
        <v>154</v>
      </c>
      <c r="Q327" s="365"/>
      <c r="R327" s="171"/>
      <c r="S327" s="171"/>
      <c r="T327" s="166"/>
      <c r="U327" s="166"/>
      <c r="V327" s="166"/>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7"/>
      <c r="BO327" s="251"/>
      <c r="BP327" s="250"/>
      <c r="BQ327" s="250"/>
      <c r="BR327" s="250"/>
      <c r="BS327" s="250"/>
      <c r="BT327" s="250"/>
      <c r="BU327" s="250"/>
      <c r="BY327" s="250"/>
    </row>
    <row r="328" spans="3:78" ht="11.25" customHeight="1">
      <c r="C328" s="97" t="s">
        <v>1240</v>
      </c>
      <c r="D328" s="366" t="s">
        <v>1324</v>
      </c>
      <c r="E328" s="369" t="s">
        <v>199</v>
      </c>
      <c r="F328" s="405" t="s">
        <v>209</v>
      </c>
      <c r="G328" s="375" t="s">
        <v>1468</v>
      </c>
      <c r="H328" s="378" t="s">
        <v>715</v>
      </c>
      <c r="I328" s="381" t="s">
        <v>715</v>
      </c>
      <c r="J328" s="381" t="s">
        <v>716</v>
      </c>
      <c r="K328" s="384">
        <v>1</v>
      </c>
      <c r="L328" s="387" t="s">
        <v>3</v>
      </c>
      <c r="M328" s="390">
        <v>0</v>
      </c>
      <c r="N328" s="163"/>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2"/>
      <c r="BO328" s="251"/>
      <c r="BP328" s="250"/>
      <c r="BQ328" s="250"/>
      <c r="BR328" s="250"/>
      <c r="BS328" s="250"/>
      <c r="BT328" s="250"/>
      <c r="BU328" s="250"/>
      <c r="BY328" s="250"/>
    </row>
    <row r="329" spans="3:78" ht="11.25" customHeight="1">
      <c r="C329" s="306"/>
      <c r="D329" s="367"/>
      <c r="E329" s="370"/>
      <c r="F329" s="406"/>
      <c r="G329" s="376"/>
      <c r="H329" s="379"/>
      <c r="I329" s="382"/>
      <c r="J329" s="382"/>
      <c r="K329" s="385"/>
      <c r="L329" s="388"/>
      <c r="M329" s="391"/>
      <c r="N329" s="393"/>
      <c r="O329" s="396">
        <v>1</v>
      </c>
      <c r="P329" s="399" t="s">
        <v>1297</v>
      </c>
      <c r="Q329" s="402"/>
      <c r="R329" s="361" t="s">
        <v>154</v>
      </c>
      <c r="S329" s="361" t="s">
        <v>154</v>
      </c>
      <c r="T329" s="361" t="s">
        <v>154</v>
      </c>
      <c r="U329" s="361" t="s">
        <v>154</v>
      </c>
      <c r="V329" s="361" t="s">
        <v>154</v>
      </c>
      <c r="W329" s="361" t="s">
        <v>154</v>
      </c>
      <c r="X329" s="361" t="s">
        <v>154</v>
      </c>
      <c r="Y329" s="361" t="s">
        <v>154</v>
      </c>
      <c r="Z329" s="361" t="s">
        <v>154</v>
      </c>
      <c r="AA329" s="361" t="s">
        <v>154</v>
      </c>
      <c r="AB329" s="361" t="s">
        <v>154</v>
      </c>
      <c r="AC329" s="361" t="s">
        <v>154</v>
      </c>
      <c r="AD329" s="361" t="s">
        <v>154</v>
      </c>
      <c r="AE329" s="209"/>
      <c r="AF329" s="220">
        <v>0</v>
      </c>
      <c r="AG329" s="219" t="s">
        <v>308</v>
      </c>
      <c r="AH329" s="219"/>
      <c r="AI329" s="219"/>
      <c r="AJ329" s="219"/>
      <c r="AK329" s="219"/>
      <c r="AL329" s="219"/>
      <c r="AM329" s="219"/>
      <c r="AN329" s="219"/>
      <c r="AO329" s="219"/>
      <c r="AP329" s="164"/>
      <c r="AQ329" s="164"/>
      <c r="AR329" s="164"/>
      <c r="AS329" s="164"/>
      <c r="AT329" s="164"/>
      <c r="AU329" s="164"/>
      <c r="AV329" s="164"/>
      <c r="AW329" s="164"/>
      <c r="AX329" s="164"/>
      <c r="AY329" s="164"/>
      <c r="AZ329" s="164"/>
      <c r="BA329" s="164"/>
      <c r="BB329" s="164"/>
      <c r="BC329" s="164"/>
      <c r="BD329" s="164"/>
      <c r="BE329" s="164"/>
      <c r="BF329" s="164"/>
      <c r="BG329" s="164"/>
      <c r="BH329" s="164"/>
      <c r="BI329" s="164"/>
      <c r="BJ329" s="164"/>
      <c r="BK329" s="164"/>
      <c r="BL329" s="164"/>
      <c r="BM329" s="164"/>
      <c r="BN329" s="165"/>
      <c r="BO329" s="251"/>
      <c r="BP329" s="364" t="s">
        <v>1298</v>
      </c>
      <c r="BQ329" s="364" t="s">
        <v>1298</v>
      </c>
      <c r="BR329" s="364" t="s">
        <v>1298</v>
      </c>
      <c r="BS329" s="250"/>
      <c r="BT329" s="364" t="s">
        <v>1298</v>
      </c>
      <c r="BU329" s="364" t="s">
        <v>1298</v>
      </c>
      <c r="BV329" s="364" t="s">
        <v>1298</v>
      </c>
      <c r="BW329" s="364" t="s">
        <v>1298</v>
      </c>
      <c r="BX329" s="364" t="s">
        <v>1298</v>
      </c>
      <c r="BY329" s="250"/>
    </row>
    <row r="330" spans="3:78" ht="14.25">
      <c r="C330" s="306"/>
      <c r="D330" s="367"/>
      <c r="E330" s="370"/>
      <c r="F330" s="406"/>
      <c r="G330" s="376"/>
      <c r="H330" s="379"/>
      <c r="I330" s="382"/>
      <c r="J330" s="382"/>
      <c r="K330" s="385"/>
      <c r="L330" s="388"/>
      <c r="M330" s="391"/>
      <c r="N330" s="394"/>
      <c r="O330" s="397"/>
      <c r="P330" s="400"/>
      <c r="Q330" s="403"/>
      <c r="R330" s="362"/>
      <c r="S330" s="362"/>
      <c r="T330" s="362"/>
      <c r="U330" s="362"/>
      <c r="V330" s="362"/>
      <c r="W330" s="362"/>
      <c r="X330" s="362"/>
      <c r="Y330" s="362"/>
      <c r="Z330" s="362"/>
      <c r="AA330" s="362"/>
      <c r="AB330" s="362"/>
      <c r="AC330" s="362"/>
      <c r="AD330" s="362"/>
      <c r="AE330" s="193"/>
      <c r="AF330" s="217" t="s">
        <v>268</v>
      </c>
      <c r="AG330" s="158" t="s">
        <v>221</v>
      </c>
      <c r="AH330" s="300" t="s">
        <v>19</v>
      </c>
      <c r="AI330" s="301" t="s">
        <v>154</v>
      </c>
      <c r="AJ330" s="221"/>
      <c r="AK330" s="221"/>
      <c r="AL330" s="221"/>
      <c r="AM330" s="221"/>
      <c r="AN330" s="221"/>
      <c r="AO330" s="221"/>
      <c r="AP330" s="302" t="s">
        <v>19</v>
      </c>
      <c r="AQ330" s="195">
        <f>SUM(AT330,AW330,AZ330,BC330,BF330,BI330,BL330)</f>
        <v>4005.3559536203838</v>
      </c>
      <c r="AR330" s="197">
        <f>SUM(AT330,AX330,BA330,BD330,BG330,BJ330,BM330)</f>
        <v>0</v>
      </c>
      <c r="AS330" s="195">
        <f>AQ330-AR330</f>
        <v>4005.3559536203838</v>
      </c>
      <c r="AT330" s="312"/>
      <c r="AU330" s="312"/>
      <c r="AV330" s="244"/>
      <c r="AW330" s="159">
        <v>4005.3559536203838</v>
      </c>
      <c r="AX330" s="312"/>
      <c r="AY330" s="194">
        <f>AW330-AX330</f>
        <v>4005.3559536203838</v>
      </c>
      <c r="AZ330" s="160"/>
      <c r="BA330" s="312"/>
      <c r="BB330" s="194">
        <f>AZ330-BA330</f>
        <v>0</v>
      </c>
      <c r="BC330" s="159"/>
      <c r="BD330" s="312"/>
      <c r="BE330" s="194">
        <f>BC330-BD330</f>
        <v>0</v>
      </c>
      <c r="BF330" s="159"/>
      <c r="BG330" s="244"/>
      <c r="BH330" s="194">
        <f>BF330-BG330</f>
        <v>0</v>
      </c>
      <c r="BI330" s="159"/>
      <c r="BJ330" s="244"/>
      <c r="BK330" s="194">
        <f>BI330-BJ330</f>
        <v>0</v>
      </c>
      <c r="BL330" s="312"/>
      <c r="BM330" s="312"/>
      <c r="BN330" s="195">
        <f>BL330-BM330</f>
        <v>0</v>
      </c>
      <c r="BO330" s="251">
        <v>0</v>
      </c>
      <c r="BP330" s="364"/>
      <c r="BQ330" s="364"/>
      <c r="BR330" s="364"/>
      <c r="BS330" s="249" t="str">
        <f>AG330 &amp; BO330</f>
        <v>Амортизационные отчисления0</v>
      </c>
      <c r="BT330" s="364"/>
      <c r="BU330" s="364"/>
      <c r="BV330" s="364"/>
      <c r="BW330" s="364"/>
      <c r="BX330" s="364"/>
      <c r="BY330" s="249" t="str">
        <f>AG330&amp;AH330</f>
        <v>Амортизационные отчислениянет</v>
      </c>
      <c r="BZ330" s="250"/>
    </row>
    <row r="331" spans="3:78" ht="14.25">
      <c r="C331" s="97"/>
      <c r="D331" s="367"/>
      <c r="E331" s="370"/>
      <c r="F331" s="406"/>
      <c r="G331" s="376"/>
      <c r="H331" s="379"/>
      <c r="I331" s="382"/>
      <c r="J331" s="382"/>
      <c r="K331" s="385"/>
      <c r="L331" s="388"/>
      <c r="M331" s="391"/>
      <c r="N331" s="394"/>
      <c r="O331" s="397"/>
      <c r="P331" s="400"/>
      <c r="Q331" s="403"/>
      <c r="R331" s="362"/>
      <c r="S331" s="362"/>
      <c r="T331" s="362"/>
      <c r="U331" s="362"/>
      <c r="V331" s="362"/>
      <c r="W331" s="362"/>
      <c r="X331" s="362"/>
      <c r="Y331" s="362"/>
      <c r="Z331" s="362"/>
      <c r="AA331" s="362"/>
      <c r="AB331" s="362"/>
      <c r="AC331" s="362"/>
      <c r="AD331" s="362"/>
      <c r="AE331" s="322" t="s">
        <v>1240</v>
      </c>
      <c r="AF331" s="217" t="s">
        <v>118</v>
      </c>
      <c r="AG331" s="196" t="s">
        <v>223</v>
      </c>
      <c r="AH331" s="302" t="s">
        <v>19</v>
      </c>
      <c r="AI331" s="301" t="s">
        <v>154</v>
      </c>
      <c r="AJ331" s="221"/>
      <c r="AK331" s="221"/>
      <c r="AL331" s="221"/>
      <c r="AM331" s="221"/>
      <c r="AN331" s="221"/>
      <c r="AO331" s="221"/>
      <c r="AP331" s="302" t="s">
        <v>19</v>
      </c>
      <c r="AQ331" s="195">
        <f>SUM(AT331,AW331,AZ331,BC331,BF331,BI331,BL331)</f>
        <v>801.07119072407659</v>
      </c>
      <c r="AR331" s="197">
        <f>SUM(AT331,AX331,BA331,BD331,BG331,BJ331,BM331)</f>
        <v>0</v>
      </c>
      <c r="AS331" s="195">
        <f>AQ331-AR331</f>
        <v>801.07119072407659</v>
      </c>
      <c r="AT331" s="315"/>
      <c r="AU331" s="315"/>
      <c r="AV331" s="241"/>
      <c r="AW331" s="198">
        <f>4806.42714434446-AW330</f>
        <v>801.07119072407659</v>
      </c>
      <c r="AX331" s="313"/>
      <c r="AY331" s="199">
        <f>AW331-AX331</f>
        <v>801.07119072407659</v>
      </c>
      <c r="AZ331" s="173"/>
      <c r="BA331" s="313"/>
      <c r="BB331" s="199">
        <f>AZ331-BA331</f>
        <v>0</v>
      </c>
      <c r="BC331" s="198"/>
      <c r="BD331" s="313"/>
      <c r="BE331" s="199">
        <f>BC331-BD331</f>
        <v>0</v>
      </c>
      <c r="BF331" s="198"/>
      <c r="BG331" s="241"/>
      <c r="BH331" s="199">
        <f>BF331-BG331</f>
        <v>0</v>
      </c>
      <c r="BI331" s="198"/>
      <c r="BJ331" s="241"/>
      <c r="BK331" s="199">
        <f>BI331-BJ331</f>
        <v>0</v>
      </c>
      <c r="BL331" s="313"/>
      <c r="BM331" s="313"/>
      <c r="BN331" s="195">
        <f>BL331-BM331</f>
        <v>0</v>
      </c>
      <c r="BO331" s="251">
        <v>0</v>
      </c>
      <c r="BP331" s="364"/>
      <c r="BQ331" s="364"/>
      <c r="BR331" s="364"/>
      <c r="BS331" s="249" t="str">
        <f>AG331 &amp; BO331</f>
        <v>Прочие собственные средства0</v>
      </c>
      <c r="BT331" s="364"/>
      <c r="BU331" s="364"/>
      <c r="BV331" s="364"/>
      <c r="BW331" s="364"/>
      <c r="BX331" s="364"/>
      <c r="BY331" s="249" t="str">
        <f>AG331&amp;AH331</f>
        <v>Прочие собственные средстванет</v>
      </c>
      <c r="BZ331" s="250"/>
    </row>
    <row r="332" spans="3:78" ht="15" customHeight="1">
      <c r="C332" s="306"/>
      <c r="D332" s="367"/>
      <c r="E332" s="370"/>
      <c r="F332" s="406"/>
      <c r="G332" s="376"/>
      <c r="H332" s="379"/>
      <c r="I332" s="382"/>
      <c r="J332" s="382"/>
      <c r="K332" s="385"/>
      <c r="L332" s="388"/>
      <c r="M332" s="391"/>
      <c r="N332" s="395"/>
      <c r="O332" s="398"/>
      <c r="P332" s="401"/>
      <c r="Q332" s="404"/>
      <c r="R332" s="363"/>
      <c r="S332" s="363"/>
      <c r="T332" s="363"/>
      <c r="U332" s="363"/>
      <c r="V332" s="363"/>
      <c r="W332" s="363"/>
      <c r="X332" s="363"/>
      <c r="Y332" s="363"/>
      <c r="Z332" s="363"/>
      <c r="AA332" s="363"/>
      <c r="AB332" s="363"/>
      <c r="AC332" s="363"/>
      <c r="AD332" s="363"/>
      <c r="AE332" s="279" t="s">
        <v>379</v>
      </c>
      <c r="AF332" s="203"/>
      <c r="AG332" s="223" t="s">
        <v>24</v>
      </c>
      <c r="AH332" s="223"/>
      <c r="AI332" s="223"/>
      <c r="AJ332" s="223"/>
      <c r="AK332" s="223"/>
      <c r="AL332" s="223"/>
      <c r="AM332" s="223"/>
      <c r="AN332" s="223"/>
      <c r="AO332" s="223"/>
      <c r="AP332" s="168"/>
      <c r="AQ332" s="169"/>
      <c r="AR332" s="169"/>
      <c r="AS332" s="169"/>
      <c r="AT332" s="169"/>
      <c r="AU332" s="169"/>
      <c r="AV332" s="169"/>
      <c r="AW332" s="169"/>
      <c r="AX332" s="169"/>
      <c r="AY332" s="169"/>
      <c r="AZ332" s="169"/>
      <c r="BA332" s="169"/>
      <c r="BB332" s="169"/>
      <c r="BC332" s="169"/>
      <c r="BD332" s="169"/>
      <c r="BE332" s="169"/>
      <c r="BF332" s="169"/>
      <c r="BG332" s="169"/>
      <c r="BH332" s="169"/>
      <c r="BI332" s="169"/>
      <c r="BJ332" s="169"/>
      <c r="BK332" s="169"/>
      <c r="BL332" s="169"/>
      <c r="BM332" s="169"/>
      <c r="BN332" s="170"/>
      <c r="BO332" s="251"/>
      <c r="BP332" s="364"/>
      <c r="BQ332" s="364"/>
      <c r="BR332" s="364"/>
      <c r="BS332" s="250"/>
      <c r="BT332" s="364"/>
      <c r="BU332" s="364"/>
      <c r="BV332" s="364"/>
      <c r="BW332" s="364"/>
      <c r="BX332" s="364"/>
      <c r="BY332" s="250"/>
    </row>
    <row r="333" spans="3:78" ht="15" customHeight="1" thickBot="1">
      <c r="C333" s="307"/>
      <c r="D333" s="368"/>
      <c r="E333" s="371"/>
      <c r="F333" s="407"/>
      <c r="G333" s="377"/>
      <c r="H333" s="380"/>
      <c r="I333" s="383"/>
      <c r="J333" s="383"/>
      <c r="K333" s="386"/>
      <c r="L333" s="389"/>
      <c r="M333" s="392"/>
      <c r="N333" s="280" t="s">
        <v>380</v>
      </c>
      <c r="O333" s="212"/>
      <c r="P333" s="365" t="s">
        <v>154</v>
      </c>
      <c r="Q333" s="365"/>
      <c r="R333" s="171"/>
      <c r="S333" s="171"/>
      <c r="T333" s="166"/>
      <c r="U333" s="166"/>
      <c r="V333" s="166"/>
      <c r="W333" s="166"/>
      <c r="X333" s="166"/>
      <c r="Y333" s="166"/>
      <c r="Z333" s="166"/>
      <c r="AA333" s="166"/>
      <c r="AB333" s="166"/>
      <c r="AC333" s="166"/>
      <c r="AD333" s="166"/>
      <c r="AE333" s="166"/>
      <c r="AF333" s="166"/>
      <c r="AG333" s="166"/>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7"/>
      <c r="BO333" s="251"/>
      <c r="BP333" s="250"/>
      <c r="BQ333" s="250"/>
      <c r="BR333" s="250"/>
      <c r="BS333" s="250"/>
      <c r="BT333" s="250"/>
      <c r="BU333" s="250"/>
      <c r="BY333" s="250"/>
    </row>
    <row r="334" spans="3:78" ht="11.25" customHeight="1">
      <c r="C334" s="97" t="s">
        <v>1240</v>
      </c>
      <c r="D334" s="366" t="s">
        <v>1325</v>
      </c>
      <c r="E334" s="369" t="s">
        <v>199</v>
      </c>
      <c r="F334" s="405" t="s">
        <v>209</v>
      </c>
      <c r="G334" s="375" t="s">
        <v>1467</v>
      </c>
      <c r="H334" s="378" t="s">
        <v>715</v>
      </c>
      <c r="I334" s="381" t="s">
        <v>715</v>
      </c>
      <c r="J334" s="381" t="s">
        <v>716</v>
      </c>
      <c r="K334" s="384">
        <v>1</v>
      </c>
      <c r="L334" s="387" t="s">
        <v>5</v>
      </c>
      <c r="M334" s="390">
        <v>0</v>
      </c>
      <c r="N334" s="163"/>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2"/>
      <c r="BO334" s="251"/>
      <c r="BP334" s="250"/>
      <c r="BQ334" s="250"/>
      <c r="BR334" s="250"/>
      <c r="BS334" s="250"/>
      <c r="BT334" s="250"/>
      <c r="BU334" s="250"/>
      <c r="BY334" s="250"/>
    </row>
    <row r="335" spans="3:78" ht="11.25" customHeight="1">
      <c r="C335" s="306"/>
      <c r="D335" s="367"/>
      <c r="E335" s="370"/>
      <c r="F335" s="406"/>
      <c r="G335" s="376"/>
      <c r="H335" s="379"/>
      <c r="I335" s="382"/>
      <c r="J335" s="382"/>
      <c r="K335" s="385"/>
      <c r="L335" s="388"/>
      <c r="M335" s="391"/>
      <c r="N335" s="393"/>
      <c r="O335" s="396">
        <v>1</v>
      </c>
      <c r="P335" s="399" t="s">
        <v>1297</v>
      </c>
      <c r="Q335" s="402"/>
      <c r="R335" s="361" t="s">
        <v>154</v>
      </c>
      <c r="S335" s="361" t="s">
        <v>154</v>
      </c>
      <c r="T335" s="361" t="s">
        <v>154</v>
      </c>
      <c r="U335" s="361" t="s">
        <v>154</v>
      </c>
      <c r="V335" s="361" t="s">
        <v>154</v>
      </c>
      <c r="W335" s="361" t="s">
        <v>154</v>
      </c>
      <c r="X335" s="361" t="s">
        <v>154</v>
      </c>
      <c r="Y335" s="361" t="s">
        <v>154</v>
      </c>
      <c r="Z335" s="361" t="s">
        <v>154</v>
      </c>
      <c r="AA335" s="361" t="s">
        <v>154</v>
      </c>
      <c r="AB335" s="361" t="s">
        <v>154</v>
      </c>
      <c r="AC335" s="361" t="s">
        <v>154</v>
      </c>
      <c r="AD335" s="361" t="s">
        <v>154</v>
      </c>
      <c r="AE335" s="209"/>
      <c r="AF335" s="220">
        <v>0</v>
      </c>
      <c r="AG335" s="219" t="s">
        <v>308</v>
      </c>
      <c r="AH335" s="219"/>
      <c r="AI335" s="219"/>
      <c r="AJ335" s="219"/>
      <c r="AK335" s="219"/>
      <c r="AL335" s="219"/>
      <c r="AM335" s="219"/>
      <c r="AN335" s="219"/>
      <c r="AO335" s="219"/>
      <c r="AP335" s="164"/>
      <c r="AQ335" s="164"/>
      <c r="AR335" s="164"/>
      <c r="AS335" s="164"/>
      <c r="AT335" s="164"/>
      <c r="AU335" s="164"/>
      <c r="AV335" s="164"/>
      <c r="AW335" s="164"/>
      <c r="AX335" s="164"/>
      <c r="AY335" s="164"/>
      <c r="AZ335" s="164"/>
      <c r="BA335" s="164"/>
      <c r="BB335" s="164"/>
      <c r="BC335" s="164"/>
      <c r="BD335" s="164"/>
      <c r="BE335" s="164"/>
      <c r="BF335" s="164"/>
      <c r="BG335" s="164"/>
      <c r="BH335" s="164"/>
      <c r="BI335" s="164"/>
      <c r="BJ335" s="164"/>
      <c r="BK335" s="164"/>
      <c r="BL335" s="164"/>
      <c r="BM335" s="164"/>
      <c r="BN335" s="165"/>
      <c r="BO335" s="251"/>
      <c r="BP335" s="364" t="s">
        <v>1298</v>
      </c>
      <c r="BQ335" s="364" t="s">
        <v>1298</v>
      </c>
      <c r="BR335" s="364" t="s">
        <v>1298</v>
      </c>
      <c r="BS335" s="250"/>
      <c r="BT335" s="364" t="s">
        <v>1298</v>
      </c>
      <c r="BU335" s="364" t="s">
        <v>1298</v>
      </c>
      <c r="BV335" s="364" t="s">
        <v>1298</v>
      </c>
      <c r="BW335" s="364" t="s">
        <v>1298</v>
      </c>
      <c r="BX335" s="364" t="s">
        <v>1298</v>
      </c>
      <c r="BY335" s="250"/>
    </row>
    <row r="336" spans="3:78" ht="14.25">
      <c r="C336" s="306"/>
      <c r="D336" s="367"/>
      <c r="E336" s="370"/>
      <c r="F336" s="406"/>
      <c r="G336" s="376"/>
      <c r="H336" s="379"/>
      <c r="I336" s="382"/>
      <c r="J336" s="382"/>
      <c r="K336" s="385"/>
      <c r="L336" s="388"/>
      <c r="M336" s="391"/>
      <c r="N336" s="394"/>
      <c r="O336" s="397"/>
      <c r="P336" s="400"/>
      <c r="Q336" s="403"/>
      <c r="R336" s="362"/>
      <c r="S336" s="362"/>
      <c r="T336" s="362"/>
      <c r="U336" s="362"/>
      <c r="V336" s="362"/>
      <c r="W336" s="362"/>
      <c r="X336" s="362"/>
      <c r="Y336" s="362"/>
      <c r="Z336" s="362"/>
      <c r="AA336" s="362"/>
      <c r="AB336" s="362"/>
      <c r="AC336" s="362"/>
      <c r="AD336" s="362"/>
      <c r="AE336" s="193"/>
      <c r="AF336" s="217" t="s">
        <v>268</v>
      </c>
      <c r="AG336" s="158" t="s">
        <v>221</v>
      </c>
      <c r="AH336" s="300" t="s">
        <v>19</v>
      </c>
      <c r="AI336" s="301" t="s">
        <v>154</v>
      </c>
      <c r="AJ336" s="221"/>
      <c r="AK336" s="221"/>
      <c r="AL336" s="221"/>
      <c r="AM336" s="221"/>
      <c r="AN336" s="221"/>
      <c r="AO336" s="221"/>
      <c r="AP336" s="302" t="s">
        <v>19</v>
      </c>
      <c r="AQ336" s="195">
        <f>SUM(AT336,AW336,AZ336,BC336,BF336,BI336,BL336)</f>
        <v>3188.730121621375</v>
      </c>
      <c r="AR336" s="197">
        <f>SUM(AT336,AX336,BA336,BD336,BG336,BJ336,BM336)</f>
        <v>0</v>
      </c>
      <c r="AS336" s="195">
        <f>AQ336-AR336</f>
        <v>3188.730121621375</v>
      </c>
      <c r="AT336" s="312"/>
      <c r="AU336" s="312"/>
      <c r="AV336" s="244"/>
      <c r="AW336" s="159"/>
      <c r="AX336" s="312"/>
      <c r="AY336" s="194">
        <f>AW336-AX336</f>
        <v>0</v>
      </c>
      <c r="AZ336" s="160"/>
      <c r="BA336" s="312"/>
      <c r="BB336" s="194">
        <f>AZ336-BA336</f>
        <v>0</v>
      </c>
      <c r="BC336" s="159">
        <v>3188.730121621375</v>
      </c>
      <c r="BD336" s="312"/>
      <c r="BE336" s="194">
        <f>BC336-BD336</f>
        <v>3188.730121621375</v>
      </c>
      <c r="BF336" s="159"/>
      <c r="BG336" s="244"/>
      <c r="BH336" s="194">
        <f>BF336-BG336</f>
        <v>0</v>
      </c>
      <c r="BI336" s="159"/>
      <c r="BJ336" s="244"/>
      <c r="BK336" s="194">
        <f>BI336-BJ336</f>
        <v>0</v>
      </c>
      <c r="BL336" s="312"/>
      <c r="BM336" s="312"/>
      <c r="BN336" s="195">
        <f>BL336-BM336</f>
        <v>0</v>
      </c>
      <c r="BO336" s="251">
        <v>0</v>
      </c>
      <c r="BP336" s="364"/>
      <c r="BQ336" s="364"/>
      <c r="BR336" s="364"/>
      <c r="BS336" s="249" t="str">
        <f>AG336 &amp; BO336</f>
        <v>Амортизационные отчисления0</v>
      </c>
      <c r="BT336" s="364"/>
      <c r="BU336" s="364"/>
      <c r="BV336" s="364"/>
      <c r="BW336" s="364"/>
      <c r="BX336" s="364"/>
      <c r="BY336" s="249" t="str">
        <f>AG336&amp;AH336</f>
        <v>Амортизационные отчислениянет</v>
      </c>
      <c r="BZ336" s="250"/>
    </row>
    <row r="337" spans="3:78" ht="14.25">
      <c r="C337" s="97"/>
      <c r="D337" s="367"/>
      <c r="E337" s="370"/>
      <c r="F337" s="406"/>
      <c r="G337" s="376"/>
      <c r="H337" s="379"/>
      <c r="I337" s="382"/>
      <c r="J337" s="382"/>
      <c r="K337" s="385"/>
      <c r="L337" s="388"/>
      <c r="M337" s="391"/>
      <c r="N337" s="394"/>
      <c r="O337" s="397"/>
      <c r="P337" s="400"/>
      <c r="Q337" s="403"/>
      <c r="R337" s="362"/>
      <c r="S337" s="362"/>
      <c r="T337" s="362"/>
      <c r="U337" s="362"/>
      <c r="V337" s="362"/>
      <c r="W337" s="362"/>
      <c r="X337" s="362"/>
      <c r="Y337" s="362"/>
      <c r="Z337" s="362"/>
      <c r="AA337" s="362"/>
      <c r="AB337" s="362"/>
      <c r="AC337" s="362"/>
      <c r="AD337" s="362"/>
      <c r="AE337" s="322" t="s">
        <v>1240</v>
      </c>
      <c r="AF337" s="217" t="s">
        <v>118</v>
      </c>
      <c r="AG337" s="196" t="s">
        <v>223</v>
      </c>
      <c r="AH337" s="302" t="s">
        <v>19</v>
      </c>
      <c r="AI337" s="301" t="s">
        <v>154</v>
      </c>
      <c r="AJ337" s="221"/>
      <c r="AK337" s="221"/>
      <c r="AL337" s="221"/>
      <c r="AM337" s="221"/>
      <c r="AN337" s="221"/>
      <c r="AO337" s="221"/>
      <c r="AP337" s="302" t="s">
        <v>19</v>
      </c>
      <c r="AQ337" s="195">
        <f>SUM(AT337,AW337,AZ337,BC337,BF337,BI337,BL337)</f>
        <v>637.74602432427491</v>
      </c>
      <c r="AR337" s="197">
        <f>SUM(AT337,AX337,BA337,BD337,BG337,BJ337,BM337)</f>
        <v>0</v>
      </c>
      <c r="AS337" s="195">
        <f>AQ337-AR337</f>
        <v>637.74602432427491</v>
      </c>
      <c r="AT337" s="315"/>
      <c r="AU337" s="315"/>
      <c r="AV337" s="241"/>
      <c r="AW337" s="198"/>
      <c r="AX337" s="313"/>
      <c r="AY337" s="199">
        <f>AW337-AX337</f>
        <v>0</v>
      </c>
      <c r="AZ337" s="173"/>
      <c r="BA337" s="313"/>
      <c r="BB337" s="199">
        <f>AZ337-BA337</f>
        <v>0</v>
      </c>
      <c r="BC337" s="198">
        <f>3826.47614594565-BC336</f>
        <v>637.74602432427491</v>
      </c>
      <c r="BD337" s="313"/>
      <c r="BE337" s="199">
        <f>BC337-BD337</f>
        <v>637.74602432427491</v>
      </c>
      <c r="BF337" s="198"/>
      <c r="BG337" s="241"/>
      <c r="BH337" s="199">
        <f>BF337-BG337</f>
        <v>0</v>
      </c>
      <c r="BI337" s="198"/>
      <c r="BJ337" s="241"/>
      <c r="BK337" s="199">
        <f>BI337-BJ337</f>
        <v>0</v>
      </c>
      <c r="BL337" s="313"/>
      <c r="BM337" s="313"/>
      <c r="BN337" s="195">
        <f>BL337-BM337</f>
        <v>0</v>
      </c>
      <c r="BO337" s="251">
        <v>0</v>
      </c>
      <c r="BP337" s="364"/>
      <c r="BQ337" s="364"/>
      <c r="BR337" s="364"/>
      <c r="BS337" s="249" t="str">
        <f>AG337 &amp; BO337</f>
        <v>Прочие собственные средства0</v>
      </c>
      <c r="BT337" s="364"/>
      <c r="BU337" s="364"/>
      <c r="BV337" s="364"/>
      <c r="BW337" s="364"/>
      <c r="BX337" s="364"/>
      <c r="BY337" s="249" t="str">
        <f>AG337&amp;AH337</f>
        <v>Прочие собственные средстванет</v>
      </c>
      <c r="BZ337" s="250"/>
    </row>
    <row r="338" spans="3:78" ht="15" customHeight="1">
      <c r="C338" s="306"/>
      <c r="D338" s="367"/>
      <c r="E338" s="370"/>
      <c r="F338" s="406"/>
      <c r="G338" s="376"/>
      <c r="H338" s="379"/>
      <c r="I338" s="382"/>
      <c r="J338" s="382"/>
      <c r="K338" s="385"/>
      <c r="L338" s="388"/>
      <c r="M338" s="391"/>
      <c r="N338" s="395"/>
      <c r="O338" s="398"/>
      <c r="P338" s="401"/>
      <c r="Q338" s="404"/>
      <c r="R338" s="363"/>
      <c r="S338" s="363"/>
      <c r="T338" s="363"/>
      <c r="U338" s="363"/>
      <c r="V338" s="363"/>
      <c r="W338" s="363"/>
      <c r="X338" s="363"/>
      <c r="Y338" s="363"/>
      <c r="Z338" s="363"/>
      <c r="AA338" s="363"/>
      <c r="AB338" s="363"/>
      <c r="AC338" s="363"/>
      <c r="AD338" s="363"/>
      <c r="AE338" s="279" t="s">
        <v>379</v>
      </c>
      <c r="AF338" s="203"/>
      <c r="AG338" s="223" t="s">
        <v>24</v>
      </c>
      <c r="AH338" s="223"/>
      <c r="AI338" s="223"/>
      <c r="AJ338" s="223"/>
      <c r="AK338" s="223"/>
      <c r="AL338" s="223"/>
      <c r="AM338" s="223"/>
      <c r="AN338" s="223"/>
      <c r="AO338" s="223"/>
      <c r="AP338" s="168"/>
      <c r="AQ338" s="169"/>
      <c r="AR338" s="169"/>
      <c r="AS338" s="169"/>
      <c r="AT338" s="169"/>
      <c r="AU338" s="169"/>
      <c r="AV338" s="169"/>
      <c r="AW338" s="169"/>
      <c r="AX338" s="169"/>
      <c r="AY338" s="169"/>
      <c r="AZ338" s="169"/>
      <c r="BA338" s="169"/>
      <c r="BB338" s="169"/>
      <c r="BC338" s="169"/>
      <c r="BD338" s="169"/>
      <c r="BE338" s="169"/>
      <c r="BF338" s="169"/>
      <c r="BG338" s="169"/>
      <c r="BH338" s="169"/>
      <c r="BI338" s="169"/>
      <c r="BJ338" s="169"/>
      <c r="BK338" s="169"/>
      <c r="BL338" s="169"/>
      <c r="BM338" s="169"/>
      <c r="BN338" s="170"/>
      <c r="BO338" s="251"/>
      <c r="BP338" s="364"/>
      <c r="BQ338" s="364"/>
      <c r="BR338" s="364"/>
      <c r="BS338" s="250"/>
      <c r="BT338" s="364"/>
      <c r="BU338" s="364"/>
      <c r="BV338" s="364"/>
      <c r="BW338" s="364"/>
      <c r="BX338" s="364"/>
      <c r="BY338" s="250"/>
    </row>
    <row r="339" spans="3:78" ht="15" customHeight="1" thickBot="1">
      <c r="C339" s="307"/>
      <c r="D339" s="368"/>
      <c r="E339" s="371"/>
      <c r="F339" s="407"/>
      <c r="G339" s="377"/>
      <c r="H339" s="380"/>
      <c r="I339" s="383"/>
      <c r="J339" s="383"/>
      <c r="K339" s="386"/>
      <c r="L339" s="389"/>
      <c r="M339" s="392"/>
      <c r="N339" s="280" t="s">
        <v>380</v>
      </c>
      <c r="O339" s="212"/>
      <c r="P339" s="365" t="s">
        <v>154</v>
      </c>
      <c r="Q339" s="365"/>
      <c r="R339" s="171"/>
      <c r="S339" s="171"/>
      <c r="T339" s="166"/>
      <c r="U339" s="166"/>
      <c r="V339" s="166"/>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7"/>
      <c r="BO339" s="251"/>
      <c r="BP339" s="250"/>
      <c r="BQ339" s="250"/>
      <c r="BR339" s="250"/>
      <c r="BS339" s="250"/>
      <c r="BT339" s="250"/>
      <c r="BU339" s="250"/>
      <c r="BY339" s="250"/>
    </row>
    <row r="340" spans="3:78" ht="11.25" customHeight="1">
      <c r="C340" s="97" t="s">
        <v>1240</v>
      </c>
      <c r="D340" s="366" t="s">
        <v>1331</v>
      </c>
      <c r="E340" s="369" t="s">
        <v>199</v>
      </c>
      <c r="F340" s="405" t="s">
        <v>209</v>
      </c>
      <c r="G340" s="375" t="s">
        <v>1475</v>
      </c>
      <c r="H340" s="378" t="s">
        <v>715</v>
      </c>
      <c r="I340" s="381" t="s">
        <v>715</v>
      </c>
      <c r="J340" s="381" t="s">
        <v>716</v>
      </c>
      <c r="K340" s="384">
        <v>2</v>
      </c>
      <c r="L340" s="387" t="s">
        <v>5</v>
      </c>
      <c r="M340" s="390">
        <v>0</v>
      </c>
      <c r="N340" s="163"/>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2"/>
      <c r="BO340" s="251"/>
      <c r="BP340" s="250"/>
      <c r="BQ340" s="250"/>
      <c r="BR340" s="250"/>
      <c r="BS340" s="250"/>
      <c r="BT340" s="250"/>
      <c r="BU340" s="250"/>
      <c r="BY340" s="250"/>
    </row>
    <row r="341" spans="3:78" ht="11.25" customHeight="1">
      <c r="C341" s="306"/>
      <c r="D341" s="367"/>
      <c r="E341" s="370"/>
      <c r="F341" s="406"/>
      <c r="G341" s="376"/>
      <c r="H341" s="379"/>
      <c r="I341" s="382"/>
      <c r="J341" s="382"/>
      <c r="K341" s="385"/>
      <c r="L341" s="388"/>
      <c r="M341" s="391"/>
      <c r="N341" s="393"/>
      <c r="O341" s="396">
        <v>1</v>
      </c>
      <c r="P341" s="399" t="s">
        <v>1297</v>
      </c>
      <c r="Q341" s="402"/>
      <c r="R341" s="361" t="s">
        <v>154</v>
      </c>
      <c r="S341" s="361" t="s">
        <v>154</v>
      </c>
      <c r="T341" s="361" t="s">
        <v>154</v>
      </c>
      <c r="U341" s="361" t="s">
        <v>154</v>
      </c>
      <c r="V341" s="361" t="s">
        <v>154</v>
      </c>
      <c r="W341" s="361" t="s">
        <v>154</v>
      </c>
      <c r="X341" s="361" t="s">
        <v>154</v>
      </c>
      <c r="Y341" s="361" t="s">
        <v>154</v>
      </c>
      <c r="Z341" s="361" t="s">
        <v>154</v>
      </c>
      <c r="AA341" s="361" t="s">
        <v>154</v>
      </c>
      <c r="AB341" s="361" t="s">
        <v>154</v>
      </c>
      <c r="AC341" s="361" t="s">
        <v>154</v>
      </c>
      <c r="AD341" s="361" t="s">
        <v>154</v>
      </c>
      <c r="AE341" s="209"/>
      <c r="AF341" s="220">
        <v>0</v>
      </c>
      <c r="AG341" s="219" t="s">
        <v>308</v>
      </c>
      <c r="AH341" s="219"/>
      <c r="AI341" s="219"/>
      <c r="AJ341" s="219"/>
      <c r="AK341" s="219"/>
      <c r="AL341" s="219"/>
      <c r="AM341" s="219"/>
      <c r="AN341" s="219"/>
      <c r="AO341" s="219"/>
      <c r="AP341" s="164"/>
      <c r="AQ341" s="164"/>
      <c r="AR341" s="164"/>
      <c r="AS341" s="164"/>
      <c r="AT341" s="164"/>
      <c r="AU341" s="164"/>
      <c r="AV341" s="164"/>
      <c r="AW341" s="164"/>
      <c r="AX341" s="164"/>
      <c r="AY341" s="164"/>
      <c r="AZ341" s="164"/>
      <c r="BA341" s="164"/>
      <c r="BB341" s="164"/>
      <c r="BC341" s="164"/>
      <c r="BD341" s="164"/>
      <c r="BE341" s="164"/>
      <c r="BF341" s="164"/>
      <c r="BG341" s="164"/>
      <c r="BH341" s="164"/>
      <c r="BI341" s="164"/>
      <c r="BJ341" s="164"/>
      <c r="BK341" s="164"/>
      <c r="BL341" s="164"/>
      <c r="BM341" s="164"/>
      <c r="BN341" s="165"/>
      <c r="BO341" s="251"/>
      <c r="BP341" s="364" t="s">
        <v>1298</v>
      </c>
      <c r="BQ341" s="364" t="s">
        <v>1298</v>
      </c>
      <c r="BR341" s="364" t="s">
        <v>1298</v>
      </c>
      <c r="BS341" s="250"/>
      <c r="BT341" s="364" t="s">
        <v>1298</v>
      </c>
      <c r="BU341" s="364" t="s">
        <v>1298</v>
      </c>
      <c r="BV341" s="364" t="s">
        <v>1298</v>
      </c>
      <c r="BW341" s="364" t="s">
        <v>1298</v>
      </c>
      <c r="BX341" s="364" t="s">
        <v>1298</v>
      </c>
      <c r="BY341" s="250"/>
    </row>
    <row r="342" spans="3:78" ht="14.25">
      <c r="C342" s="306"/>
      <c r="D342" s="367"/>
      <c r="E342" s="370"/>
      <c r="F342" s="406"/>
      <c r="G342" s="376"/>
      <c r="H342" s="379"/>
      <c r="I342" s="382"/>
      <c r="J342" s="382"/>
      <c r="K342" s="385"/>
      <c r="L342" s="388"/>
      <c r="M342" s="391"/>
      <c r="N342" s="394"/>
      <c r="O342" s="397"/>
      <c r="P342" s="400"/>
      <c r="Q342" s="403"/>
      <c r="R342" s="362"/>
      <c r="S342" s="362"/>
      <c r="T342" s="362"/>
      <c r="U342" s="362"/>
      <c r="V342" s="362"/>
      <c r="W342" s="362"/>
      <c r="X342" s="362"/>
      <c r="Y342" s="362"/>
      <c r="Z342" s="362"/>
      <c r="AA342" s="362"/>
      <c r="AB342" s="362"/>
      <c r="AC342" s="362"/>
      <c r="AD342" s="362"/>
      <c r="AE342" s="193"/>
      <c r="AF342" s="217" t="s">
        <v>268</v>
      </c>
      <c r="AG342" s="158" t="s">
        <v>221</v>
      </c>
      <c r="AH342" s="300" t="s">
        <v>19</v>
      </c>
      <c r="AI342" s="301" t="s">
        <v>154</v>
      </c>
      <c r="AJ342" s="221"/>
      <c r="AK342" s="221"/>
      <c r="AL342" s="221"/>
      <c r="AM342" s="221"/>
      <c r="AN342" s="221"/>
      <c r="AO342" s="221"/>
      <c r="AP342" s="302" t="s">
        <v>19</v>
      </c>
      <c r="AQ342" s="195">
        <f>SUM(AT342,AW342,AZ342,BC342,BF342,BI342,BL342)</f>
        <v>124794.67368307697</v>
      </c>
      <c r="AR342" s="197">
        <f>SUM(AT342,AX342,BA342,BD342,BG342,BJ342,BM342)</f>
        <v>0</v>
      </c>
      <c r="AS342" s="195">
        <f>AQ342-AR342</f>
        <v>124794.67368307697</v>
      </c>
      <c r="AT342" s="312"/>
      <c r="AU342" s="312"/>
      <c r="AV342" s="244"/>
      <c r="AW342" s="159">
        <v>3665.430920156125</v>
      </c>
      <c r="AX342" s="312"/>
      <c r="AY342" s="194">
        <f>AW342-AX342</f>
        <v>3665.430920156125</v>
      </c>
      <c r="AZ342" s="160"/>
      <c r="BA342" s="312"/>
      <c r="BB342" s="194">
        <f>AZ342-BA342</f>
        <v>0</v>
      </c>
      <c r="BC342" s="159">
        <v>121129.24276292084</v>
      </c>
      <c r="BD342" s="312"/>
      <c r="BE342" s="194">
        <f>BC342-BD342</f>
        <v>121129.24276292084</v>
      </c>
      <c r="BF342" s="159"/>
      <c r="BG342" s="244"/>
      <c r="BH342" s="194">
        <f>BF342-BG342</f>
        <v>0</v>
      </c>
      <c r="BI342" s="159"/>
      <c r="BJ342" s="244"/>
      <c r="BK342" s="194">
        <f>BI342-BJ342</f>
        <v>0</v>
      </c>
      <c r="BL342" s="312"/>
      <c r="BM342" s="312"/>
      <c r="BN342" s="195">
        <f>BL342-BM342</f>
        <v>0</v>
      </c>
      <c r="BO342" s="251">
        <v>0</v>
      </c>
      <c r="BP342" s="364"/>
      <c r="BQ342" s="364"/>
      <c r="BR342" s="364"/>
      <c r="BS342" s="249" t="str">
        <f>AG342 &amp; BO342</f>
        <v>Амортизационные отчисления0</v>
      </c>
      <c r="BT342" s="364"/>
      <c r="BU342" s="364"/>
      <c r="BV342" s="364"/>
      <c r="BW342" s="364"/>
      <c r="BX342" s="364"/>
      <c r="BY342" s="249" t="str">
        <f>AG342&amp;AH342</f>
        <v>Амортизационные отчислениянет</v>
      </c>
      <c r="BZ342" s="250"/>
    </row>
    <row r="343" spans="3:78" ht="14.25">
      <c r="C343" s="97"/>
      <c r="D343" s="367"/>
      <c r="E343" s="370"/>
      <c r="F343" s="406"/>
      <c r="G343" s="376"/>
      <c r="H343" s="379"/>
      <c r="I343" s="382"/>
      <c r="J343" s="382"/>
      <c r="K343" s="385"/>
      <c r="L343" s="388"/>
      <c r="M343" s="391"/>
      <c r="N343" s="394"/>
      <c r="O343" s="397"/>
      <c r="P343" s="400"/>
      <c r="Q343" s="403"/>
      <c r="R343" s="362"/>
      <c r="S343" s="362"/>
      <c r="T343" s="362"/>
      <c r="U343" s="362"/>
      <c r="V343" s="362"/>
      <c r="W343" s="362"/>
      <c r="X343" s="362"/>
      <c r="Y343" s="362"/>
      <c r="Z343" s="362"/>
      <c r="AA343" s="362"/>
      <c r="AB343" s="362"/>
      <c r="AC343" s="362"/>
      <c r="AD343" s="362"/>
      <c r="AE343" s="322" t="s">
        <v>1240</v>
      </c>
      <c r="AF343" s="217" t="s">
        <v>118</v>
      </c>
      <c r="AG343" s="196" t="s">
        <v>223</v>
      </c>
      <c r="AH343" s="302" t="s">
        <v>19</v>
      </c>
      <c r="AI343" s="301" t="s">
        <v>154</v>
      </c>
      <c r="AJ343" s="221"/>
      <c r="AK343" s="221"/>
      <c r="AL343" s="221"/>
      <c r="AM343" s="221"/>
      <c r="AN343" s="221"/>
      <c r="AO343" s="221"/>
      <c r="AP343" s="302" t="s">
        <v>19</v>
      </c>
      <c r="AQ343" s="195">
        <f>SUM(AT343,AW343,AZ343,BC343,BF343,BI343,BL343)</f>
        <v>24958.934736615392</v>
      </c>
      <c r="AR343" s="197">
        <f>SUM(AT343,AX343,BA343,BD343,BG343,BJ343,BM343)</f>
        <v>0</v>
      </c>
      <c r="AS343" s="195">
        <f>AQ343-AR343</f>
        <v>24958.934736615392</v>
      </c>
      <c r="AT343" s="315"/>
      <c r="AU343" s="315"/>
      <c r="AV343" s="241"/>
      <c r="AW343" s="198">
        <f>4398.51710418735-AW342</f>
        <v>733.086184031225</v>
      </c>
      <c r="AX343" s="313"/>
      <c r="AY343" s="199">
        <f>AW343-AX343</f>
        <v>733.086184031225</v>
      </c>
      <c r="AZ343" s="173"/>
      <c r="BA343" s="313"/>
      <c r="BB343" s="199">
        <f>AZ343-BA343</f>
        <v>0</v>
      </c>
      <c r="BC343" s="198">
        <f>145355.091315505-BC342</f>
        <v>24225.848552584168</v>
      </c>
      <c r="BD343" s="313"/>
      <c r="BE343" s="199">
        <f>BC343-BD343</f>
        <v>24225.848552584168</v>
      </c>
      <c r="BF343" s="198"/>
      <c r="BG343" s="241"/>
      <c r="BH343" s="199">
        <f>BF343-BG343</f>
        <v>0</v>
      </c>
      <c r="BI343" s="198"/>
      <c r="BJ343" s="241"/>
      <c r="BK343" s="199">
        <f>BI343-BJ343</f>
        <v>0</v>
      </c>
      <c r="BL343" s="313"/>
      <c r="BM343" s="313"/>
      <c r="BN343" s="195">
        <f>BL343-BM343</f>
        <v>0</v>
      </c>
      <c r="BO343" s="251">
        <v>0</v>
      </c>
      <c r="BP343" s="364"/>
      <c r="BQ343" s="364"/>
      <c r="BR343" s="364"/>
      <c r="BS343" s="249" t="str">
        <f>AG343 &amp; BO343</f>
        <v>Прочие собственные средства0</v>
      </c>
      <c r="BT343" s="364"/>
      <c r="BU343" s="364"/>
      <c r="BV343" s="364"/>
      <c r="BW343" s="364"/>
      <c r="BX343" s="364"/>
      <c r="BY343" s="249" t="str">
        <f>AG343&amp;AH343</f>
        <v>Прочие собственные средстванет</v>
      </c>
      <c r="BZ343" s="250"/>
    </row>
    <row r="344" spans="3:78" ht="15" customHeight="1">
      <c r="C344" s="306"/>
      <c r="D344" s="367"/>
      <c r="E344" s="370"/>
      <c r="F344" s="406"/>
      <c r="G344" s="376"/>
      <c r="H344" s="379"/>
      <c r="I344" s="382"/>
      <c r="J344" s="382"/>
      <c r="K344" s="385"/>
      <c r="L344" s="388"/>
      <c r="M344" s="391"/>
      <c r="N344" s="395"/>
      <c r="O344" s="398"/>
      <c r="P344" s="401"/>
      <c r="Q344" s="404"/>
      <c r="R344" s="363"/>
      <c r="S344" s="363"/>
      <c r="T344" s="363"/>
      <c r="U344" s="363"/>
      <c r="V344" s="363"/>
      <c r="W344" s="363"/>
      <c r="X344" s="363"/>
      <c r="Y344" s="363"/>
      <c r="Z344" s="363"/>
      <c r="AA344" s="363"/>
      <c r="AB344" s="363"/>
      <c r="AC344" s="363"/>
      <c r="AD344" s="363"/>
      <c r="AE344" s="279" t="s">
        <v>379</v>
      </c>
      <c r="AF344" s="203"/>
      <c r="AG344" s="223" t="s">
        <v>24</v>
      </c>
      <c r="AH344" s="223"/>
      <c r="AI344" s="223"/>
      <c r="AJ344" s="223"/>
      <c r="AK344" s="223"/>
      <c r="AL344" s="223"/>
      <c r="AM344" s="223"/>
      <c r="AN344" s="223"/>
      <c r="AO344" s="223"/>
      <c r="AP344" s="168"/>
      <c r="AQ344" s="169"/>
      <c r="AR344" s="169"/>
      <c r="AS344" s="169"/>
      <c r="AT344" s="169"/>
      <c r="AU344" s="169"/>
      <c r="AV344" s="169"/>
      <c r="AW344" s="169"/>
      <c r="AX344" s="169"/>
      <c r="AY344" s="169"/>
      <c r="AZ344" s="169"/>
      <c r="BA344" s="169"/>
      <c r="BB344" s="169"/>
      <c r="BC344" s="169"/>
      <c r="BD344" s="169"/>
      <c r="BE344" s="169"/>
      <c r="BF344" s="169"/>
      <c r="BG344" s="169"/>
      <c r="BH344" s="169"/>
      <c r="BI344" s="169"/>
      <c r="BJ344" s="169"/>
      <c r="BK344" s="169"/>
      <c r="BL344" s="169"/>
      <c r="BM344" s="169"/>
      <c r="BN344" s="170"/>
      <c r="BO344" s="251"/>
      <c r="BP344" s="364"/>
      <c r="BQ344" s="364"/>
      <c r="BR344" s="364"/>
      <c r="BS344" s="250"/>
      <c r="BT344" s="364"/>
      <c r="BU344" s="364"/>
      <c r="BV344" s="364"/>
      <c r="BW344" s="364"/>
      <c r="BX344" s="364"/>
      <c r="BY344" s="250"/>
    </row>
    <row r="345" spans="3:78" ht="15" customHeight="1" thickBot="1">
      <c r="C345" s="307"/>
      <c r="D345" s="368"/>
      <c r="E345" s="371"/>
      <c r="F345" s="407"/>
      <c r="G345" s="377"/>
      <c r="H345" s="380"/>
      <c r="I345" s="383"/>
      <c r="J345" s="383"/>
      <c r="K345" s="386"/>
      <c r="L345" s="389"/>
      <c r="M345" s="392"/>
      <c r="N345" s="280" t="s">
        <v>380</v>
      </c>
      <c r="O345" s="212"/>
      <c r="P345" s="365" t="s">
        <v>154</v>
      </c>
      <c r="Q345" s="365"/>
      <c r="R345" s="171"/>
      <c r="S345" s="171"/>
      <c r="T345" s="166"/>
      <c r="U345" s="166"/>
      <c r="V345" s="166"/>
      <c r="W345" s="166"/>
      <c r="X345" s="166"/>
      <c r="Y345" s="166"/>
      <c r="Z345" s="166"/>
      <c r="AA345" s="166"/>
      <c r="AB345" s="166"/>
      <c r="AC345" s="166"/>
      <c r="AD345" s="166"/>
      <c r="AE345" s="166"/>
      <c r="AF345" s="166"/>
      <c r="AG345" s="166"/>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7"/>
      <c r="BO345" s="251"/>
      <c r="BP345" s="250"/>
      <c r="BQ345" s="250"/>
      <c r="BR345" s="250"/>
      <c r="BS345" s="250"/>
      <c r="BT345" s="250"/>
      <c r="BU345" s="250"/>
      <c r="BY345" s="250"/>
    </row>
    <row r="346" spans="3:78" ht="11.25" customHeight="1">
      <c r="C346" s="97" t="s">
        <v>1240</v>
      </c>
      <c r="D346" s="366" t="s">
        <v>1332</v>
      </c>
      <c r="E346" s="369" t="s">
        <v>199</v>
      </c>
      <c r="F346" s="405" t="s">
        <v>209</v>
      </c>
      <c r="G346" s="375" t="s">
        <v>1476</v>
      </c>
      <c r="H346" s="378" t="s">
        <v>715</v>
      </c>
      <c r="I346" s="381" t="s">
        <v>715</v>
      </c>
      <c r="J346" s="381" t="s">
        <v>716</v>
      </c>
      <c r="K346" s="384">
        <v>1</v>
      </c>
      <c r="L346" s="387" t="s">
        <v>3</v>
      </c>
      <c r="M346" s="390">
        <v>0</v>
      </c>
      <c r="N346" s="163"/>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c r="AX346" s="161"/>
      <c r="AY346" s="161"/>
      <c r="AZ346" s="161"/>
      <c r="BA346" s="161"/>
      <c r="BB346" s="161"/>
      <c r="BC346" s="161"/>
      <c r="BD346" s="161"/>
      <c r="BE346" s="161"/>
      <c r="BF346" s="161"/>
      <c r="BG346" s="161"/>
      <c r="BH346" s="161"/>
      <c r="BI346" s="161"/>
      <c r="BJ346" s="161"/>
      <c r="BK346" s="161"/>
      <c r="BL346" s="161"/>
      <c r="BM346" s="161"/>
      <c r="BN346" s="162"/>
      <c r="BO346" s="251"/>
      <c r="BP346" s="250"/>
      <c r="BQ346" s="250"/>
      <c r="BR346" s="250"/>
      <c r="BS346" s="250"/>
      <c r="BT346" s="250"/>
      <c r="BU346" s="250"/>
      <c r="BY346" s="250"/>
    </row>
    <row r="347" spans="3:78" ht="11.25" customHeight="1">
      <c r="C347" s="306"/>
      <c r="D347" s="367"/>
      <c r="E347" s="370"/>
      <c r="F347" s="406"/>
      <c r="G347" s="376"/>
      <c r="H347" s="379"/>
      <c r="I347" s="382"/>
      <c r="J347" s="382"/>
      <c r="K347" s="385"/>
      <c r="L347" s="388"/>
      <c r="M347" s="391"/>
      <c r="N347" s="393"/>
      <c r="O347" s="396">
        <v>1</v>
      </c>
      <c r="P347" s="399" t="s">
        <v>1297</v>
      </c>
      <c r="Q347" s="402"/>
      <c r="R347" s="361" t="s">
        <v>154</v>
      </c>
      <c r="S347" s="361" t="s">
        <v>154</v>
      </c>
      <c r="T347" s="361" t="s">
        <v>154</v>
      </c>
      <c r="U347" s="361" t="s">
        <v>154</v>
      </c>
      <c r="V347" s="361" t="s">
        <v>154</v>
      </c>
      <c r="W347" s="361" t="s">
        <v>154</v>
      </c>
      <c r="X347" s="361" t="s">
        <v>154</v>
      </c>
      <c r="Y347" s="361" t="s">
        <v>154</v>
      </c>
      <c r="Z347" s="361" t="s">
        <v>154</v>
      </c>
      <c r="AA347" s="361" t="s">
        <v>154</v>
      </c>
      <c r="AB347" s="361" t="s">
        <v>154</v>
      </c>
      <c r="AC347" s="361" t="s">
        <v>154</v>
      </c>
      <c r="AD347" s="361" t="s">
        <v>154</v>
      </c>
      <c r="AE347" s="209"/>
      <c r="AF347" s="220">
        <v>0</v>
      </c>
      <c r="AG347" s="219" t="s">
        <v>308</v>
      </c>
      <c r="AH347" s="219"/>
      <c r="AI347" s="219"/>
      <c r="AJ347" s="219"/>
      <c r="AK347" s="219"/>
      <c r="AL347" s="219"/>
      <c r="AM347" s="219"/>
      <c r="AN347" s="219"/>
      <c r="AO347" s="219"/>
      <c r="AP347" s="164"/>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64"/>
      <c r="BM347" s="164"/>
      <c r="BN347" s="165"/>
      <c r="BO347" s="251"/>
      <c r="BP347" s="364" t="s">
        <v>1298</v>
      </c>
      <c r="BQ347" s="364" t="s">
        <v>1298</v>
      </c>
      <c r="BR347" s="364" t="s">
        <v>1298</v>
      </c>
      <c r="BS347" s="250"/>
      <c r="BT347" s="364" t="s">
        <v>1298</v>
      </c>
      <c r="BU347" s="364" t="s">
        <v>1298</v>
      </c>
      <c r="BV347" s="364" t="s">
        <v>1298</v>
      </c>
      <c r="BW347" s="364" t="s">
        <v>1298</v>
      </c>
      <c r="BX347" s="364" t="s">
        <v>1298</v>
      </c>
      <c r="BY347" s="250"/>
    </row>
    <row r="348" spans="3:78" ht="14.25">
      <c r="C348" s="306"/>
      <c r="D348" s="367"/>
      <c r="E348" s="370"/>
      <c r="F348" s="406"/>
      <c r="G348" s="376"/>
      <c r="H348" s="379"/>
      <c r="I348" s="382"/>
      <c r="J348" s="382"/>
      <c r="K348" s="385"/>
      <c r="L348" s="388"/>
      <c r="M348" s="391"/>
      <c r="N348" s="394"/>
      <c r="O348" s="397"/>
      <c r="P348" s="400"/>
      <c r="Q348" s="403"/>
      <c r="R348" s="362"/>
      <c r="S348" s="362"/>
      <c r="T348" s="362"/>
      <c r="U348" s="362"/>
      <c r="V348" s="362"/>
      <c r="W348" s="362"/>
      <c r="X348" s="362"/>
      <c r="Y348" s="362"/>
      <c r="Z348" s="362"/>
      <c r="AA348" s="362"/>
      <c r="AB348" s="362"/>
      <c r="AC348" s="362"/>
      <c r="AD348" s="362"/>
      <c r="AE348" s="193"/>
      <c r="AF348" s="217" t="s">
        <v>268</v>
      </c>
      <c r="AG348" s="158" t="s">
        <v>221</v>
      </c>
      <c r="AH348" s="300" t="s">
        <v>19</v>
      </c>
      <c r="AI348" s="301" t="s">
        <v>154</v>
      </c>
      <c r="AJ348" s="221"/>
      <c r="AK348" s="221"/>
      <c r="AL348" s="221"/>
      <c r="AM348" s="221"/>
      <c r="AN348" s="221"/>
      <c r="AO348" s="221"/>
      <c r="AP348" s="302" t="s">
        <v>19</v>
      </c>
      <c r="AQ348" s="195">
        <f>SUM(AT348,AW348,AZ348,BC348,BF348,BI348,BL348)</f>
        <v>1750.4898675989418</v>
      </c>
      <c r="AR348" s="197">
        <f>SUM(AT348,AX348,BA348,BD348,BG348,BJ348,BM348)</f>
        <v>0</v>
      </c>
      <c r="AS348" s="195">
        <f>AQ348-AR348</f>
        <v>1750.4898675989418</v>
      </c>
      <c r="AT348" s="312"/>
      <c r="AU348" s="312"/>
      <c r="AV348" s="244"/>
      <c r="AW348" s="159">
        <v>1750.4898675989418</v>
      </c>
      <c r="AX348" s="312"/>
      <c r="AY348" s="194">
        <f>AW348-AX348</f>
        <v>1750.4898675989418</v>
      </c>
      <c r="AZ348" s="160"/>
      <c r="BA348" s="312"/>
      <c r="BB348" s="194">
        <f>AZ348-BA348</f>
        <v>0</v>
      </c>
      <c r="BC348" s="159"/>
      <c r="BD348" s="312"/>
      <c r="BE348" s="194">
        <f>BC348-BD348</f>
        <v>0</v>
      </c>
      <c r="BF348" s="159"/>
      <c r="BG348" s="244"/>
      <c r="BH348" s="194">
        <f>BF348-BG348</f>
        <v>0</v>
      </c>
      <c r="BI348" s="159"/>
      <c r="BJ348" s="244"/>
      <c r="BK348" s="194">
        <f>BI348-BJ348</f>
        <v>0</v>
      </c>
      <c r="BL348" s="312"/>
      <c r="BM348" s="312"/>
      <c r="BN348" s="195">
        <f>BL348-BM348</f>
        <v>0</v>
      </c>
      <c r="BO348" s="251">
        <v>0</v>
      </c>
      <c r="BP348" s="364"/>
      <c r="BQ348" s="364"/>
      <c r="BR348" s="364"/>
      <c r="BS348" s="249" t="str">
        <f>AG348 &amp; BO348</f>
        <v>Амортизационные отчисления0</v>
      </c>
      <c r="BT348" s="364"/>
      <c r="BU348" s="364"/>
      <c r="BV348" s="364"/>
      <c r="BW348" s="364"/>
      <c r="BX348" s="364"/>
      <c r="BY348" s="249" t="str">
        <f>AG348&amp;AH348</f>
        <v>Амортизационные отчислениянет</v>
      </c>
      <c r="BZ348" s="250"/>
    </row>
    <row r="349" spans="3:78" ht="14.25">
      <c r="C349" s="97"/>
      <c r="D349" s="367"/>
      <c r="E349" s="370"/>
      <c r="F349" s="406"/>
      <c r="G349" s="376"/>
      <c r="H349" s="379"/>
      <c r="I349" s="382"/>
      <c r="J349" s="382"/>
      <c r="K349" s="385"/>
      <c r="L349" s="388"/>
      <c r="M349" s="391"/>
      <c r="N349" s="394"/>
      <c r="O349" s="397"/>
      <c r="P349" s="400"/>
      <c r="Q349" s="403"/>
      <c r="R349" s="362"/>
      <c r="S349" s="362"/>
      <c r="T349" s="362"/>
      <c r="U349" s="362"/>
      <c r="V349" s="362"/>
      <c r="W349" s="362"/>
      <c r="X349" s="362"/>
      <c r="Y349" s="362"/>
      <c r="Z349" s="362"/>
      <c r="AA349" s="362"/>
      <c r="AB349" s="362"/>
      <c r="AC349" s="362"/>
      <c r="AD349" s="362"/>
      <c r="AE349" s="322" t="s">
        <v>1240</v>
      </c>
      <c r="AF349" s="217" t="s">
        <v>118</v>
      </c>
      <c r="AG349" s="196" t="s">
        <v>223</v>
      </c>
      <c r="AH349" s="302" t="s">
        <v>19</v>
      </c>
      <c r="AI349" s="301" t="s">
        <v>154</v>
      </c>
      <c r="AJ349" s="221"/>
      <c r="AK349" s="221"/>
      <c r="AL349" s="221"/>
      <c r="AM349" s="221"/>
      <c r="AN349" s="221"/>
      <c r="AO349" s="221"/>
      <c r="AP349" s="302" t="s">
        <v>19</v>
      </c>
      <c r="AQ349" s="195">
        <f>SUM(AT349,AW349,AZ349,BC349,BF349,BI349,BL349)</f>
        <v>350.09797351978818</v>
      </c>
      <c r="AR349" s="197">
        <f>SUM(AT349,AX349,BA349,BD349,BG349,BJ349,BM349)</f>
        <v>0</v>
      </c>
      <c r="AS349" s="195">
        <f>AQ349-AR349</f>
        <v>350.09797351978818</v>
      </c>
      <c r="AT349" s="315"/>
      <c r="AU349" s="315"/>
      <c r="AV349" s="241"/>
      <c r="AW349" s="198">
        <f>2100.58784111873-AW348</f>
        <v>350.09797351978818</v>
      </c>
      <c r="AX349" s="313"/>
      <c r="AY349" s="199">
        <f>AW349-AX349</f>
        <v>350.09797351978818</v>
      </c>
      <c r="AZ349" s="173"/>
      <c r="BA349" s="313"/>
      <c r="BB349" s="199">
        <f>AZ349-BA349</f>
        <v>0</v>
      </c>
      <c r="BC349" s="198"/>
      <c r="BD349" s="313"/>
      <c r="BE349" s="199">
        <f>BC349-BD349</f>
        <v>0</v>
      </c>
      <c r="BF349" s="198"/>
      <c r="BG349" s="241"/>
      <c r="BH349" s="199">
        <f>BF349-BG349</f>
        <v>0</v>
      </c>
      <c r="BI349" s="198"/>
      <c r="BJ349" s="241"/>
      <c r="BK349" s="199">
        <f>BI349-BJ349</f>
        <v>0</v>
      </c>
      <c r="BL349" s="313"/>
      <c r="BM349" s="313"/>
      <c r="BN349" s="195">
        <f>BL349-BM349</f>
        <v>0</v>
      </c>
      <c r="BO349" s="251">
        <v>0</v>
      </c>
      <c r="BP349" s="364"/>
      <c r="BQ349" s="364"/>
      <c r="BR349" s="364"/>
      <c r="BS349" s="249" t="str">
        <f>AG349 &amp; BO349</f>
        <v>Прочие собственные средства0</v>
      </c>
      <c r="BT349" s="364"/>
      <c r="BU349" s="364"/>
      <c r="BV349" s="364"/>
      <c r="BW349" s="364"/>
      <c r="BX349" s="364"/>
      <c r="BY349" s="249" t="str">
        <f>AG349&amp;AH349</f>
        <v>Прочие собственные средстванет</v>
      </c>
      <c r="BZ349" s="250"/>
    </row>
    <row r="350" spans="3:78" ht="15" customHeight="1">
      <c r="C350" s="306"/>
      <c r="D350" s="367"/>
      <c r="E350" s="370"/>
      <c r="F350" s="406"/>
      <c r="G350" s="376"/>
      <c r="H350" s="379"/>
      <c r="I350" s="382"/>
      <c r="J350" s="382"/>
      <c r="K350" s="385"/>
      <c r="L350" s="388"/>
      <c r="M350" s="391"/>
      <c r="N350" s="395"/>
      <c r="O350" s="398"/>
      <c r="P350" s="401"/>
      <c r="Q350" s="404"/>
      <c r="R350" s="363"/>
      <c r="S350" s="363"/>
      <c r="T350" s="363"/>
      <c r="U350" s="363"/>
      <c r="V350" s="363"/>
      <c r="W350" s="363"/>
      <c r="X350" s="363"/>
      <c r="Y350" s="363"/>
      <c r="Z350" s="363"/>
      <c r="AA350" s="363"/>
      <c r="AB350" s="363"/>
      <c r="AC350" s="363"/>
      <c r="AD350" s="363"/>
      <c r="AE350" s="279" t="s">
        <v>379</v>
      </c>
      <c r="AF350" s="203"/>
      <c r="AG350" s="223" t="s">
        <v>24</v>
      </c>
      <c r="AH350" s="223"/>
      <c r="AI350" s="223"/>
      <c r="AJ350" s="223"/>
      <c r="AK350" s="223"/>
      <c r="AL350" s="223"/>
      <c r="AM350" s="223"/>
      <c r="AN350" s="223"/>
      <c r="AO350" s="223"/>
      <c r="AP350" s="168"/>
      <c r="AQ350" s="169"/>
      <c r="AR350" s="169"/>
      <c r="AS350" s="169"/>
      <c r="AT350" s="169"/>
      <c r="AU350" s="169"/>
      <c r="AV350" s="169"/>
      <c r="AW350" s="169"/>
      <c r="AX350" s="169"/>
      <c r="AY350" s="169"/>
      <c r="AZ350" s="169"/>
      <c r="BA350" s="169"/>
      <c r="BB350" s="169"/>
      <c r="BC350" s="169"/>
      <c r="BD350" s="169"/>
      <c r="BE350" s="169"/>
      <c r="BF350" s="169"/>
      <c r="BG350" s="169"/>
      <c r="BH350" s="169"/>
      <c r="BI350" s="169"/>
      <c r="BJ350" s="169"/>
      <c r="BK350" s="169"/>
      <c r="BL350" s="169"/>
      <c r="BM350" s="169"/>
      <c r="BN350" s="170"/>
      <c r="BO350" s="251"/>
      <c r="BP350" s="364"/>
      <c r="BQ350" s="364"/>
      <c r="BR350" s="364"/>
      <c r="BS350" s="250"/>
      <c r="BT350" s="364"/>
      <c r="BU350" s="364"/>
      <c r="BV350" s="364"/>
      <c r="BW350" s="364"/>
      <c r="BX350" s="364"/>
      <c r="BY350" s="250"/>
    </row>
    <row r="351" spans="3:78" ht="15" customHeight="1" thickBot="1">
      <c r="C351" s="307"/>
      <c r="D351" s="368"/>
      <c r="E351" s="371"/>
      <c r="F351" s="407"/>
      <c r="G351" s="377"/>
      <c r="H351" s="380"/>
      <c r="I351" s="383"/>
      <c r="J351" s="383"/>
      <c r="K351" s="386"/>
      <c r="L351" s="389"/>
      <c r="M351" s="392"/>
      <c r="N351" s="280" t="s">
        <v>380</v>
      </c>
      <c r="O351" s="212"/>
      <c r="P351" s="365" t="s">
        <v>154</v>
      </c>
      <c r="Q351" s="365"/>
      <c r="R351" s="171"/>
      <c r="S351" s="171"/>
      <c r="T351" s="166"/>
      <c r="U351" s="166"/>
      <c r="V351" s="166"/>
      <c r="W351" s="166"/>
      <c r="X351" s="166"/>
      <c r="Y351" s="166"/>
      <c r="Z351" s="166"/>
      <c r="AA351" s="166"/>
      <c r="AB351" s="166"/>
      <c r="AC351" s="166"/>
      <c r="AD351" s="166"/>
      <c r="AE351" s="166"/>
      <c r="AF351" s="166"/>
      <c r="AG351" s="166"/>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7"/>
      <c r="BO351" s="251"/>
      <c r="BP351" s="250"/>
      <c r="BQ351" s="250"/>
      <c r="BR351" s="250"/>
      <c r="BS351" s="250"/>
      <c r="BT351" s="250"/>
      <c r="BU351" s="250"/>
      <c r="BY351" s="250"/>
    </row>
    <row r="352" spans="3:78" ht="11.25" customHeight="1">
      <c r="C352" s="97" t="s">
        <v>1240</v>
      </c>
      <c r="D352" s="366" t="s">
        <v>1333</v>
      </c>
      <c r="E352" s="369" t="s">
        <v>199</v>
      </c>
      <c r="F352" s="405" t="s">
        <v>209</v>
      </c>
      <c r="G352" s="375" t="s">
        <v>1351</v>
      </c>
      <c r="H352" s="378" t="s">
        <v>715</v>
      </c>
      <c r="I352" s="381" t="s">
        <v>715</v>
      </c>
      <c r="J352" s="381" t="s">
        <v>716</v>
      </c>
      <c r="K352" s="384">
        <v>1</v>
      </c>
      <c r="L352" s="387" t="s">
        <v>4</v>
      </c>
      <c r="M352" s="390">
        <v>0</v>
      </c>
      <c r="N352" s="163"/>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c r="AX352" s="161"/>
      <c r="AY352" s="161"/>
      <c r="AZ352" s="161"/>
      <c r="BA352" s="161"/>
      <c r="BB352" s="161"/>
      <c r="BC352" s="161"/>
      <c r="BD352" s="161"/>
      <c r="BE352" s="161"/>
      <c r="BF352" s="161"/>
      <c r="BG352" s="161"/>
      <c r="BH352" s="161"/>
      <c r="BI352" s="161"/>
      <c r="BJ352" s="161"/>
      <c r="BK352" s="161"/>
      <c r="BL352" s="161"/>
      <c r="BM352" s="161"/>
      <c r="BN352" s="162"/>
      <c r="BO352" s="251"/>
      <c r="BP352" s="250"/>
      <c r="BQ352" s="250"/>
      <c r="BR352" s="250"/>
      <c r="BS352" s="250"/>
      <c r="BT352" s="250"/>
      <c r="BU352" s="250"/>
      <c r="BY352" s="250"/>
    </row>
    <row r="353" spans="3:78" ht="11.25" customHeight="1">
      <c r="C353" s="306"/>
      <c r="D353" s="367"/>
      <c r="E353" s="370"/>
      <c r="F353" s="406"/>
      <c r="G353" s="376"/>
      <c r="H353" s="379"/>
      <c r="I353" s="382"/>
      <c r="J353" s="382"/>
      <c r="K353" s="385"/>
      <c r="L353" s="388"/>
      <c r="M353" s="391"/>
      <c r="N353" s="393"/>
      <c r="O353" s="396">
        <v>1</v>
      </c>
      <c r="P353" s="399" t="s">
        <v>1297</v>
      </c>
      <c r="Q353" s="402"/>
      <c r="R353" s="361" t="s">
        <v>154</v>
      </c>
      <c r="S353" s="361" t="s">
        <v>154</v>
      </c>
      <c r="T353" s="361" t="s">
        <v>154</v>
      </c>
      <c r="U353" s="361" t="s">
        <v>154</v>
      </c>
      <c r="V353" s="361" t="s">
        <v>154</v>
      </c>
      <c r="W353" s="361" t="s">
        <v>154</v>
      </c>
      <c r="X353" s="361" t="s">
        <v>154</v>
      </c>
      <c r="Y353" s="361" t="s">
        <v>154</v>
      </c>
      <c r="Z353" s="361" t="s">
        <v>154</v>
      </c>
      <c r="AA353" s="361" t="s">
        <v>154</v>
      </c>
      <c r="AB353" s="361" t="s">
        <v>154</v>
      </c>
      <c r="AC353" s="361" t="s">
        <v>154</v>
      </c>
      <c r="AD353" s="361" t="s">
        <v>154</v>
      </c>
      <c r="AE353" s="209"/>
      <c r="AF353" s="220">
        <v>0</v>
      </c>
      <c r="AG353" s="219" t="s">
        <v>308</v>
      </c>
      <c r="AH353" s="219"/>
      <c r="AI353" s="219"/>
      <c r="AJ353" s="219"/>
      <c r="AK353" s="219"/>
      <c r="AL353" s="219"/>
      <c r="AM353" s="219"/>
      <c r="AN353" s="219"/>
      <c r="AO353" s="219"/>
      <c r="AP353" s="164"/>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64"/>
      <c r="BM353" s="164"/>
      <c r="BN353" s="165"/>
      <c r="BO353" s="251"/>
      <c r="BP353" s="364" t="s">
        <v>1298</v>
      </c>
      <c r="BQ353" s="364" t="s">
        <v>1298</v>
      </c>
      <c r="BR353" s="364" t="s">
        <v>1298</v>
      </c>
      <c r="BS353" s="250"/>
      <c r="BT353" s="364" t="s">
        <v>1298</v>
      </c>
      <c r="BU353" s="364" t="s">
        <v>1298</v>
      </c>
      <c r="BV353" s="364" t="s">
        <v>1298</v>
      </c>
      <c r="BW353" s="364" t="s">
        <v>1298</v>
      </c>
      <c r="BX353" s="364" t="s">
        <v>1298</v>
      </c>
      <c r="BY353" s="250"/>
    </row>
    <row r="354" spans="3:78" ht="14.25">
      <c r="C354" s="306"/>
      <c r="D354" s="367"/>
      <c r="E354" s="370"/>
      <c r="F354" s="406"/>
      <c r="G354" s="376"/>
      <c r="H354" s="379"/>
      <c r="I354" s="382"/>
      <c r="J354" s="382"/>
      <c r="K354" s="385"/>
      <c r="L354" s="388"/>
      <c r="M354" s="391"/>
      <c r="N354" s="394"/>
      <c r="O354" s="397"/>
      <c r="P354" s="400"/>
      <c r="Q354" s="403"/>
      <c r="R354" s="362"/>
      <c r="S354" s="362"/>
      <c r="T354" s="362"/>
      <c r="U354" s="362"/>
      <c r="V354" s="362"/>
      <c r="W354" s="362"/>
      <c r="X354" s="362"/>
      <c r="Y354" s="362"/>
      <c r="Z354" s="362"/>
      <c r="AA354" s="362"/>
      <c r="AB354" s="362"/>
      <c r="AC354" s="362"/>
      <c r="AD354" s="362"/>
      <c r="AE354" s="193"/>
      <c r="AF354" s="217" t="s">
        <v>268</v>
      </c>
      <c r="AG354" s="158" t="s">
        <v>221</v>
      </c>
      <c r="AH354" s="300" t="s">
        <v>19</v>
      </c>
      <c r="AI354" s="301" t="s">
        <v>154</v>
      </c>
      <c r="AJ354" s="221"/>
      <c r="AK354" s="221"/>
      <c r="AL354" s="221"/>
      <c r="AM354" s="221"/>
      <c r="AN354" s="221"/>
      <c r="AO354" s="221"/>
      <c r="AP354" s="302" t="s">
        <v>19</v>
      </c>
      <c r="AQ354" s="195">
        <f>SUM(AT354,AW354,AZ354,BC354,BF354,BI354,BL354)</f>
        <v>1492.6028603212335</v>
      </c>
      <c r="AR354" s="197">
        <f>SUM(AT354,AX354,BA354,BD354,BG354,BJ354,BM354)</f>
        <v>0</v>
      </c>
      <c r="AS354" s="195">
        <f>AQ354-AR354</f>
        <v>1492.6028603212335</v>
      </c>
      <c r="AT354" s="312"/>
      <c r="AU354" s="312"/>
      <c r="AV354" s="244"/>
      <c r="AW354" s="159"/>
      <c r="AX354" s="312"/>
      <c r="AY354" s="194">
        <f>AW354-AX354</f>
        <v>0</v>
      </c>
      <c r="AZ354" s="160">
        <v>1492.6028603212335</v>
      </c>
      <c r="BA354" s="312"/>
      <c r="BB354" s="194">
        <f>AZ354-BA354</f>
        <v>1492.6028603212335</v>
      </c>
      <c r="BC354" s="159"/>
      <c r="BD354" s="312"/>
      <c r="BE354" s="194">
        <f>BC354-BD354</f>
        <v>0</v>
      </c>
      <c r="BF354" s="159"/>
      <c r="BG354" s="244"/>
      <c r="BH354" s="194">
        <f>BF354-BG354</f>
        <v>0</v>
      </c>
      <c r="BI354" s="159"/>
      <c r="BJ354" s="244"/>
      <c r="BK354" s="194">
        <f>BI354-BJ354</f>
        <v>0</v>
      </c>
      <c r="BL354" s="312"/>
      <c r="BM354" s="312"/>
      <c r="BN354" s="195">
        <f>BL354-BM354</f>
        <v>0</v>
      </c>
      <c r="BO354" s="251">
        <v>0</v>
      </c>
      <c r="BP354" s="364"/>
      <c r="BQ354" s="364"/>
      <c r="BR354" s="364"/>
      <c r="BS354" s="249" t="str">
        <f>AG354 &amp; BO354</f>
        <v>Амортизационные отчисления0</v>
      </c>
      <c r="BT354" s="364"/>
      <c r="BU354" s="364"/>
      <c r="BV354" s="364"/>
      <c r="BW354" s="364"/>
      <c r="BX354" s="364"/>
      <c r="BY354" s="249" t="str">
        <f>AG354&amp;AH354</f>
        <v>Амортизационные отчислениянет</v>
      </c>
      <c r="BZ354" s="250"/>
    </row>
    <row r="355" spans="3:78" ht="14.25">
      <c r="C355" s="97"/>
      <c r="D355" s="367"/>
      <c r="E355" s="370"/>
      <c r="F355" s="406"/>
      <c r="G355" s="376"/>
      <c r="H355" s="379"/>
      <c r="I355" s="382"/>
      <c r="J355" s="382"/>
      <c r="K355" s="385"/>
      <c r="L355" s="388"/>
      <c r="M355" s="391"/>
      <c r="N355" s="394"/>
      <c r="O355" s="397"/>
      <c r="P355" s="400"/>
      <c r="Q355" s="403"/>
      <c r="R355" s="362"/>
      <c r="S355" s="362"/>
      <c r="T355" s="362"/>
      <c r="U355" s="362"/>
      <c r="V355" s="362"/>
      <c r="W355" s="362"/>
      <c r="X355" s="362"/>
      <c r="Y355" s="362"/>
      <c r="Z355" s="362"/>
      <c r="AA355" s="362"/>
      <c r="AB355" s="362"/>
      <c r="AC355" s="362"/>
      <c r="AD355" s="362"/>
      <c r="AE355" s="322" t="s">
        <v>1240</v>
      </c>
      <c r="AF355" s="217" t="s">
        <v>118</v>
      </c>
      <c r="AG355" s="196" t="s">
        <v>223</v>
      </c>
      <c r="AH355" s="302" t="s">
        <v>19</v>
      </c>
      <c r="AI355" s="301" t="s">
        <v>154</v>
      </c>
      <c r="AJ355" s="221"/>
      <c r="AK355" s="221"/>
      <c r="AL355" s="221"/>
      <c r="AM355" s="221"/>
      <c r="AN355" s="221"/>
      <c r="AO355" s="221"/>
      <c r="AP355" s="302" t="s">
        <v>19</v>
      </c>
      <c r="AQ355" s="195">
        <f>SUM(AT355,AW355,AZ355,BC355,BF355,BI355,BL355)</f>
        <v>298.52057206424661</v>
      </c>
      <c r="AR355" s="197">
        <f>SUM(AT355,AX355,BA355,BD355,BG355,BJ355,BM355)</f>
        <v>0</v>
      </c>
      <c r="AS355" s="195">
        <f>AQ355-AR355</f>
        <v>298.52057206424661</v>
      </c>
      <c r="AT355" s="315"/>
      <c r="AU355" s="315"/>
      <c r="AV355" s="241"/>
      <c r="AW355" s="198"/>
      <c r="AX355" s="313"/>
      <c r="AY355" s="199">
        <f>AW355-AX355</f>
        <v>0</v>
      </c>
      <c r="AZ355" s="173">
        <f>1791.12343238548-AZ354</f>
        <v>298.52057206424661</v>
      </c>
      <c r="BA355" s="313"/>
      <c r="BB355" s="199">
        <f>AZ355-BA355</f>
        <v>298.52057206424661</v>
      </c>
      <c r="BC355" s="198"/>
      <c r="BD355" s="313"/>
      <c r="BE355" s="199">
        <f>BC355-BD355</f>
        <v>0</v>
      </c>
      <c r="BF355" s="198"/>
      <c r="BG355" s="241"/>
      <c r="BH355" s="199">
        <f>BF355-BG355</f>
        <v>0</v>
      </c>
      <c r="BI355" s="198"/>
      <c r="BJ355" s="241"/>
      <c r="BK355" s="199">
        <f>BI355-BJ355</f>
        <v>0</v>
      </c>
      <c r="BL355" s="313"/>
      <c r="BM355" s="313"/>
      <c r="BN355" s="195">
        <f>BL355-BM355</f>
        <v>0</v>
      </c>
      <c r="BO355" s="251">
        <v>0</v>
      </c>
      <c r="BP355" s="364"/>
      <c r="BQ355" s="364"/>
      <c r="BR355" s="364"/>
      <c r="BS355" s="249" t="str">
        <f>AG355 &amp; BO355</f>
        <v>Прочие собственные средства0</v>
      </c>
      <c r="BT355" s="364"/>
      <c r="BU355" s="364"/>
      <c r="BV355" s="364"/>
      <c r="BW355" s="364"/>
      <c r="BX355" s="364"/>
      <c r="BY355" s="249" t="str">
        <f>AG355&amp;AH355</f>
        <v>Прочие собственные средстванет</v>
      </c>
      <c r="BZ355" s="250"/>
    </row>
    <row r="356" spans="3:78" ht="15" customHeight="1">
      <c r="C356" s="306"/>
      <c r="D356" s="367"/>
      <c r="E356" s="370"/>
      <c r="F356" s="406"/>
      <c r="G356" s="376"/>
      <c r="H356" s="379"/>
      <c r="I356" s="382"/>
      <c r="J356" s="382"/>
      <c r="K356" s="385"/>
      <c r="L356" s="388"/>
      <c r="M356" s="391"/>
      <c r="N356" s="395"/>
      <c r="O356" s="398"/>
      <c r="P356" s="401"/>
      <c r="Q356" s="404"/>
      <c r="R356" s="363"/>
      <c r="S356" s="363"/>
      <c r="T356" s="363"/>
      <c r="U356" s="363"/>
      <c r="V356" s="363"/>
      <c r="W356" s="363"/>
      <c r="X356" s="363"/>
      <c r="Y356" s="363"/>
      <c r="Z356" s="363"/>
      <c r="AA356" s="363"/>
      <c r="AB356" s="363"/>
      <c r="AC356" s="363"/>
      <c r="AD356" s="363"/>
      <c r="AE356" s="279" t="s">
        <v>379</v>
      </c>
      <c r="AF356" s="203"/>
      <c r="AG356" s="223" t="s">
        <v>24</v>
      </c>
      <c r="AH356" s="223"/>
      <c r="AI356" s="223"/>
      <c r="AJ356" s="223"/>
      <c r="AK356" s="223"/>
      <c r="AL356" s="223"/>
      <c r="AM356" s="223"/>
      <c r="AN356" s="223"/>
      <c r="AO356" s="223"/>
      <c r="AP356" s="168"/>
      <c r="AQ356" s="169"/>
      <c r="AR356" s="169"/>
      <c r="AS356" s="169"/>
      <c r="AT356" s="169"/>
      <c r="AU356" s="169"/>
      <c r="AV356" s="169"/>
      <c r="AW356" s="169"/>
      <c r="AX356" s="169"/>
      <c r="AY356" s="169"/>
      <c r="AZ356" s="169"/>
      <c r="BA356" s="169"/>
      <c r="BB356" s="169"/>
      <c r="BC356" s="169"/>
      <c r="BD356" s="169"/>
      <c r="BE356" s="169"/>
      <c r="BF356" s="169"/>
      <c r="BG356" s="169"/>
      <c r="BH356" s="169"/>
      <c r="BI356" s="169"/>
      <c r="BJ356" s="169"/>
      <c r="BK356" s="169"/>
      <c r="BL356" s="169"/>
      <c r="BM356" s="169"/>
      <c r="BN356" s="170"/>
      <c r="BO356" s="251"/>
      <c r="BP356" s="364"/>
      <c r="BQ356" s="364"/>
      <c r="BR356" s="364"/>
      <c r="BS356" s="250"/>
      <c r="BT356" s="364"/>
      <c r="BU356" s="364"/>
      <c r="BV356" s="364"/>
      <c r="BW356" s="364"/>
      <c r="BX356" s="364"/>
      <c r="BY356" s="250"/>
    </row>
    <row r="357" spans="3:78" ht="15" customHeight="1" thickBot="1">
      <c r="C357" s="307"/>
      <c r="D357" s="368"/>
      <c r="E357" s="371"/>
      <c r="F357" s="407"/>
      <c r="G357" s="377"/>
      <c r="H357" s="380"/>
      <c r="I357" s="383"/>
      <c r="J357" s="383"/>
      <c r="K357" s="386"/>
      <c r="L357" s="389"/>
      <c r="M357" s="392"/>
      <c r="N357" s="280" t="s">
        <v>380</v>
      </c>
      <c r="O357" s="212"/>
      <c r="P357" s="365" t="s">
        <v>154</v>
      </c>
      <c r="Q357" s="365"/>
      <c r="R357" s="171"/>
      <c r="S357" s="171"/>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7"/>
      <c r="BO357" s="251"/>
      <c r="BP357" s="250"/>
      <c r="BQ357" s="250"/>
      <c r="BR357" s="250"/>
      <c r="BS357" s="250"/>
      <c r="BT357" s="250"/>
      <c r="BU357" s="250"/>
      <c r="BY357" s="250"/>
    </row>
    <row r="358" spans="3:78" ht="11.25" customHeight="1">
      <c r="C358" s="97" t="s">
        <v>1240</v>
      </c>
      <c r="D358" s="366" t="s">
        <v>1334</v>
      </c>
      <c r="E358" s="369" t="s">
        <v>199</v>
      </c>
      <c r="F358" s="405" t="s">
        <v>209</v>
      </c>
      <c r="G358" s="375" t="s">
        <v>1477</v>
      </c>
      <c r="H358" s="378" t="s">
        <v>715</v>
      </c>
      <c r="I358" s="381" t="s">
        <v>715</v>
      </c>
      <c r="J358" s="381" t="s">
        <v>716</v>
      </c>
      <c r="K358" s="384">
        <v>1</v>
      </c>
      <c r="L358" s="387" t="s">
        <v>5</v>
      </c>
      <c r="M358" s="390">
        <v>0</v>
      </c>
      <c r="N358" s="163"/>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c r="AX358" s="161"/>
      <c r="AY358" s="161"/>
      <c r="AZ358" s="161"/>
      <c r="BA358" s="161"/>
      <c r="BB358" s="161"/>
      <c r="BC358" s="161"/>
      <c r="BD358" s="161"/>
      <c r="BE358" s="161"/>
      <c r="BF358" s="161"/>
      <c r="BG358" s="161"/>
      <c r="BH358" s="161"/>
      <c r="BI358" s="161"/>
      <c r="BJ358" s="161"/>
      <c r="BK358" s="161"/>
      <c r="BL358" s="161"/>
      <c r="BM358" s="161"/>
      <c r="BN358" s="162"/>
      <c r="BO358" s="251"/>
      <c r="BP358" s="250"/>
      <c r="BQ358" s="250"/>
      <c r="BR358" s="250"/>
      <c r="BS358" s="250"/>
      <c r="BT358" s="250"/>
      <c r="BU358" s="250"/>
      <c r="BY358" s="250"/>
    </row>
    <row r="359" spans="3:78" ht="11.25" customHeight="1">
      <c r="C359" s="306"/>
      <c r="D359" s="367"/>
      <c r="E359" s="370"/>
      <c r="F359" s="406"/>
      <c r="G359" s="376"/>
      <c r="H359" s="379"/>
      <c r="I359" s="382"/>
      <c r="J359" s="382"/>
      <c r="K359" s="385"/>
      <c r="L359" s="388"/>
      <c r="M359" s="391"/>
      <c r="N359" s="393"/>
      <c r="O359" s="396">
        <v>1</v>
      </c>
      <c r="P359" s="399" t="s">
        <v>1297</v>
      </c>
      <c r="Q359" s="402"/>
      <c r="R359" s="361" t="s">
        <v>154</v>
      </c>
      <c r="S359" s="361" t="s">
        <v>154</v>
      </c>
      <c r="T359" s="361" t="s">
        <v>154</v>
      </c>
      <c r="U359" s="361" t="s">
        <v>154</v>
      </c>
      <c r="V359" s="361" t="s">
        <v>154</v>
      </c>
      <c r="W359" s="361" t="s">
        <v>154</v>
      </c>
      <c r="X359" s="361" t="s">
        <v>154</v>
      </c>
      <c r="Y359" s="361" t="s">
        <v>154</v>
      </c>
      <c r="Z359" s="361" t="s">
        <v>154</v>
      </c>
      <c r="AA359" s="361" t="s">
        <v>154</v>
      </c>
      <c r="AB359" s="361" t="s">
        <v>154</v>
      </c>
      <c r="AC359" s="361" t="s">
        <v>154</v>
      </c>
      <c r="AD359" s="361" t="s">
        <v>154</v>
      </c>
      <c r="AE359" s="209"/>
      <c r="AF359" s="220">
        <v>0</v>
      </c>
      <c r="AG359" s="219" t="s">
        <v>308</v>
      </c>
      <c r="AH359" s="219"/>
      <c r="AI359" s="219"/>
      <c r="AJ359" s="219"/>
      <c r="AK359" s="219"/>
      <c r="AL359" s="219"/>
      <c r="AM359" s="219"/>
      <c r="AN359" s="219"/>
      <c r="AO359" s="219"/>
      <c r="AP359" s="164"/>
      <c r="AQ359" s="164"/>
      <c r="AR359" s="164"/>
      <c r="AS359" s="164"/>
      <c r="AT359" s="164"/>
      <c r="AU359" s="164"/>
      <c r="AV359" s="164"/>
      <c r="AW359" s="164"/>
      <c r="AX359" s="164"/>
      <c r="AY359" s="164"/>
      <c r="AZ359" s="164"/>
      <c r="BA359" s="164"/>
      <c r="BB359" s="164"/>
      <c r="BC359" s="164"/>
      <c r="BD359" s="164"/>
      <c r="BE359" s="164"/>
      <c r="BF359" s="164"/>
      <c r="BG359" s="164"/>
      <c r="BH359" s="164"/>
      <c r="BI359" s="164"/>
      <c r="BJ359" s="164"/>
      <c r="BK359" s="164"/>
      <c r="BL359" s="164"/>
      <c r="BM359" s="164"/>
      <c r="BN359" s="165"/>
      <c r="BO359" s="251"/>
      <c r="BP359" s="364" t="s">
        <v>1298</v>
      </c>
      <c r="BQ359" s="364" t="s">
        <v>1298</v>
      </c>
      <c r="BR359" s="364" t="s">
        <v>1298</v>
      </c>
      <c r="BS359" s="250"/>
      <c r="BT359" s="364" t="s">
        <v>1298</v>
      </c>
      <c r="BU359" s="364" t="s">
        <v>1298</v>
      </c>
      <c r="BV359" s="364" t="s">
        <v>1298</v>
      </c>
      <c r="BW359" s="364" t="s">
        <v>1298</v>
      </c>
      <c r="BX359" s="364" t="s">
        <v>1298</v>
      </c>
      <c r="BY359" s="250"/>
    </row>
    <row r="360" spans="3:78" ht="14.25">
      <c r="C360" s="306"/>
      <c r="D360" s="367"/>
      <c r="E360" s="370"/>
      <c r="F360" s="406"/>
      <c r="G360" s="376"/>
      <c r="H360" s="379"/>
      <c r="I360" s="382"/>
      <c r="J360" s="382"/>
      <c r="K360" s="385"/>
      <c r="L360" s="388"/>
      <c r="M360" s="391"/>
      <c r="N360" s="394"/>
      <c r="O360" s="397"/>
      <c r="P360" s="400"/>
      <c r="Q360" s="403"/>
      <c r="R360" s="362"/>
      <c r="S360" s="362"/>
      <c r="T360" s="362"/>
      <c r="U360" s="362"/>
      <c r="V360" s="362"/>
      <c r="W360" s="362"/>
      <c r="X360" s="362"/>
      <c r="Y360" s="362"/>
      <c r="Z360" s="362"/>
      <c r="AA360" s="362"/>
      <c r="AB360" s="362"/>
      <c r="AC360" s="362"/>
      <c r="AD360" s="362"/>
      <c r="AE360" s="193"/>
      <c r="AF360" s="217" t="s">
        <v>268</v>
      </c>
      <c r="AG360" s="158" t="s">
        <v>221</v>
      </c>
      <c r="AH360" s="300" t="s">
        <v>19</v>
      </c>
      <c r="AI360" s="301" t="s">
        <v>154</v>
      </c>
      <c r="AJ360" s="221"/>
      <c r="AK360" s="221"/>
      <c r="AL360" s="221"/>
      <c r="AM360" s="221"/>
      <c r="AN360" s="221"/>
      <c r="AO360" s="221"/>
      <c r="AP360" s="302" t="s">
        <v>19</v>
      </c>
      <c r="AQ360" s="195">
        <f>SUM(AT360,AW360,AZ360,BC360,BF360,BI360,BL360)</f>
        <v>50912.348960080337</v>
      </c>
      <c r="AR360" s="197">
        <f>SUM(AT360,AX360,BA360,BD360,BG360,BJ360,BM360)</f>
        <v>0</v>
      </c>
      <c r="AS360" s="195">
        <f>AQ360-AR360</f>
        <v>50912.348960080337</v>
      </c>
      <c r="AT360" s="312"/>
      <c r="AU360" s="312"/>
      <c r="AV360" s="244"/>
      <c r="AW360" s="159"/>
      <c r="AX360" s="312"/>
      <c r="AY360" s="194">
        <f>AW360-AX360</f>
        <v>0</v>
      </c>
      <c r="AZ360" s="160"/>
      <c r="BA360" s="312"/>
      <c r="BB360" s="194">
        <f>AZ360-BA360</f>
        <v>0</v>
      </c>
      <c r="BC360" s="159">
        <v>50912.348960080337</v>
      </c>
      <c r="BD360" s="312"/>
      <c r="BE360" s="194">
        <f>BC360-BD360</f>
        <v>50912.348960080337</v>
      </c>
      <c r="BF360" s="159"/>
      <c r="BG360" s="244"/>
      <c r="BH360" s="194">
        <f>BF360-BG360</f>
        <v>0</v>
      </c>
      <c r="BI360" s="159"/>
      <c r="BJ360" s="244"/>
      <c r="BK360" s="194">
        <f>BI360-BJ360</f>
        <v>0</v>
      </c>
      <c r="BL360" s="312"/>
      <c r="BM360" s="312"/>
      <c r="BN360" s="195">
        <f>BL360-BM360</f>
        <v>0</v>
      </c>
      <c r="BO360" s="251">
        <v>0</v>
      </c>
      <c r="BP360" s="364"/>
      <c r="BQ360" s="364"/>
      <c r="BR360" s="364"/>
      <c r="BS360" s="249" t="str">
        <f>AG360 &amp; BO360</f>
        <v>Амортизационные отчисления0</v>
      </c>
      <c r="BT360" s="364"/>
      <c r="BU360" s="364"/>
      <c r="BV360" s="364"/>
      <c r="BW360" s="364"/>
      <c r="BX360" s="364"/>
      <c r="BY360" s="249" t="str">
        <f>AG360&amp;AH360</f>
        <v>Амортизационные отчислениянет</v>
      </c>
      <c r="BZ360" s="250"/>
    </row>
    <row r="361" spans="3:78" ht="14.25">
      <c r="C361" s="97"/>
      <c r="D361" s="367"/>
      <c r="E361" s="370"/>
      <c r="F361" s="406"/>
      <c r="G361" s="376"/>
      <c r="H361" s="379"/>
      <c r="I361" s="382"/>
      <c r="J361" s="382"/>
      <c r="K361" s="385"/>
      <c r="L361" s="388"/>
      <c r="M361" s="391"/>
      <c r="N361" s="394"/>
      <c r="O361" s="397"/>
      <c r="P361" s="400"/>
      <c r="Q361" s="403"/>
      <c r="R361" s="362"/>
      <c r="S361" s="362"/>
      <c r="T361" s="362"/>
      <c r="U361" s="362"/>
      <c r="V361" s="362"/>
      <c r="W361" s="362"/>
      <c r="X361" s="362"/>
      <c r="Y361" s="362"/>
      <c r="Z361" s="362"/>
      <c r="AA361" s="362"/>
      <c r="AB361" s="362"/>
      <c r="AC361" s="362"/>
      <c r="AD361" s="362"/>
      <c r="AE361" s="322" t="s">
        <v>1240</v>
      </c>
      <c r="AF361" s="217" t="s">
        <v>118</v>
      </c>
      <c r="AG361" s="196" t="s">
        <v>223</v>
      </c>
      <c r="AH361" s="302" t="s">
        <v>19</v>
      </c>
      <c r="AI361" s="301" t="s">
        <v>154</v>
      </c>
      <c r="AJ361" s="221"/>
      <c r="AK361" s="221"/>
      <c r="AL361" s="221"/>
      <c r="AM361" s="221"/>
      <c r="AN361" s="221"/>
      <c r="AO361" s="221"/>
      <c r="AP361" s="302" t="s">
        <v>19</v>
      </c>
      <c r="AQ361" s="195">
        <f>SUM(AT361,AW361,AZ361,BC361,BF361,BI361,BL361)</f>
        <v>10182.469792016062</v>
      </c>
      <c r="AR361" s="197">
        <f>SUM(AT361,AX361,BA361,BD361,BG361,BJ361,BM361)</f>
        <v>0</v>
      </c>
      <c r="AS361" s="195">
        <f>AQ361-AR361</f>
        <v>10182.469792016062</v>
      </c>
      <c r="AT361" s="315"/>
      <c r="AU361" s="315"/>
      <c r="AV361" s="241"/>
      <c r="AW361" s="198"/>
      <c r="AX361" s="313"/>
      <c r="AY361" s="199">
        <f>AW361-AX361</f>
        <v>0</v>
      </c>
      <c r="AZ361" s="173"/>
      <c r="BA361" s="313"/>
      <c r="BB361" s="199">
        <f>AZ361-BA361</f>
        <v>0</v>
      </c>
      <c r="BC361" s="198">
        <f>61094.8187520964-BC360</f>
        <v>10182.469792016062</v>
      </c>
      <c r="BD361" s="313"/>
      <c r="BE361" s="199">
        <f>BC361-BD361</f>
        <v>10182.469792016062</v>
      </c>
      <c r="BF361" s="198"/>
      <c r="BG361" s="241"/>
      <c r="BH361" s="199">
        <f>BF361-BG361</f>
        <v>0</v>
      </c>
      <c r="BI361" s="198"/>
      <c r="BJ361" s="241"/>
      <c r="BK361" s="199">
        <f>BI361-BJ361</f>
        <v>0</v>
      </c>
      <c r="BL361" s="313"/>
      <c r="BM361" s="313"/>
      <c r="BN361" s="195">
        <f>BL361-BM361</f>
        <v>0</v>
      </c>
      <c r="BO361" s="251">
        <v>0</v>
      </c>
      <c r="BP361" s="364"/>
      <c r="BQ361" s="364"/>
      <c r="BR361" s="364"/>
      <c r="BS361" s="249" t="str">
        <f>AG361 &amp; BO361</f>
        <v>Прочие собственные средства0</v>
      </c>
      <c r="BT361" s="364"/>
      <c r="BU361" s="364"/>
      <c r="BV361" s="364"/>
      <c r="BW361" s="364"/>
      <c r="BX361" s="364"/>
      <c r="BY361" s="249" t="str">
        <f>AG361&amp;AH361</f>
        <v>Прочие собственные средстванет</v>
      </c>
      <c r="BZ361" s="250"/>
    </row>
    <row r="362" spans="3:78" ht="15" customHeight="1">
      <c r="C362" s="306"/>
      <c r="D362" s="367"/>
      <c r="E362" s="370"/>
      <c r="F362" s="406"/>
      <c r="G362" s="376"/>
      <c r="H362" s="379"/>
      <c r="I362" s="382"/>
      <c r="J362" s="382"/>
      <c r="K362" s="385"/>
      <c r="L362" s="388"/>
      <c r="M362" s="391"/>
      <c r="N362" s="395"/>
      <c r="O362" s="398"/>
      <c r="P362" s="401"/>
      <c r="Q362" s="404"/>
      <c r="R362" s="363"/>
      <c r="S362" s="363"/>
      <c r="T362" s="363"/>
      <c r="U362" s="363"/>
      <c r="V362" s="363"/>
      <c r="W362" s="363"/>
      <c r="X362" s="363"/>
      <c r="Y362" s="363"/>
      <c r="Z362" s="363"/>
      <c r="AA362" s="363"/>
      <c r="AB362" s="363"/>
      <c r="AC362" s="363"/>
      <c r="AD362" s="363"/>
      <c r="AE362" s="279" t="s">
        <v>379</v>
      </c>
      <c r="AF362" s="203"/>
      <c r="AG362" s="223" t="s">
        <v>24</v>
      </c>
      <c r="AH362" s="223"/>
      <c r="AI362" s="223"/>
      <c r="AJ362" s="223"/>
      <c r="AK362" s="223"/>
      <c r="AL362" s="223"/>
      <c r="AM362" s="223"/>
      <c r="AN362" s="223"/>
      <c r="AO362" s="223"/>
      <c r="AP362" s="168"/>
      <c r="AQ362" s="169"/>
      <c r="AR362" s="169"/>
      <c r="AS362" s="169"/>
      <c r="AT362" s="169"/>
      <c r="AU362" s="169"/>
      <c r="AV362" s="169"/>
      <c r="AW362" s="169"/>
      <c r="AX362" s="169"/>
      <c r="AY362" s="169"/>
      <c r="AZ362" s="169"/>
      <c r="BA362" s="169"/>
      <c r="BB362" s="169"/>
      <c r="BC362" s="169"/>
      <c r="BD362" s="169"/>
      <c r="BE362" s="169"/>
      <c r="BF362" s="169"/>
      <c r="BG362" s="169"/>
      <c r="BH362" s="169"/>
      <c r="BI362" s="169"/>
      <c r="BJ362" s="169"/>
      <c r="BK362" s="169"/>
      <c r="BL362" s="169"/>
      <c r="BM362" s="169"/>
      <c r="BN362" s="170"/>
      <c r="BO362" s="251"/>
      <c r="BP362" s="364"/>
      <c r="BQ362" s="364"/>
      <c r="BR362" s="364"/>
      <c r="BS362" s="250"/>
      <c r="BT362" s="364"/>
      <c r="BU362" s="364"/>
      <c r="BV362" s="364"/>
      <c r="BW362" s="364"/>
      <c r="BX362" s="364"/>
      <c r="BY362" s="250"/>
    </row>
    <row r="363" spans="3:78" ht="15" customHeight="1" thickBot="1">
      <c r="C363" s="307"/>
      <c r="D363" s="368"/>
      <c r="E363" s="371"/>
      <c r="F363" s="407"/>
      <c r="G363" s="377"/>
      <c r="H363" s="380"/>
      <c r="I363" s="383"/>
      <c r="J363" s="383"/>
      <c r="K363" s="386"/>
      <c r="L363" s="389"/>
      <c r="M363" s="392"/>
      <c r="N363" s="280" t="s">
        <v>380</v>
      </c>
      <c r="O363" s="212"/>
      <c r="P363" s="365" t="s">
        <v>154</v>
      </c>
      <c r="Q363" s="365"/>
      <c r="R363" s="171"/>
      <c r="S363" s="171"/>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7"/>
      <c r="BO363" s="251"/>
      <c r="BP363" s="250"/>
      <c r="BQ363" s="250"/>
      <c r="BR363" s="250"/>
      <c r="BS363" s="250"/>
      <c r="BT363" s="250"/>
      <c r="BU363" s="250"/>
      <c r="BY363" s="250"/>
    </row>
    <row r="364" spans="3:78" ht="11.25" customHeight="1">
      <c r="C364" s="97" t="s">
        <v>1240</v>
      </c>
      <c r="D364" s="366" t="s">
        <v>1335</v>
      </c>
      <c r="E364" s="369" t="s">
        <v>199</v>
      </c>
      <c r="F364" s="405" t="s">
        <v>209</v>
      </c>
      <c r="G364" s="375" t="s">
        <v>1478</v>
      </c>
      <c r="H364" s="378" t="s">
        <v>715</v>
      </c>
      <c r="I364" s="381" t="s">
        <v>715</v>
      </c>
      <c r="J364" s="381" t="s">
        <v>716</v>
      </c>
      <c r="K364" s="384">
        <v>1</v>
      </c>
      <c r="L364" s="387" t="s">
        <v>3</v>
      </c>
      <c r="M364" s="390">
        <v>0</v>
      </c>
      <c r="N364" s="163"/>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c r="AX364" s="161"/>
      <c r="AY364" s="161"/>
      <c r="AZ364" s="161"/>
      <c r="BA364" s="161"/>
      <c r="BB364" s="161"/>
      <c r="BC364" s="161"/>
      <c r="BD364" s="161"/>
      <c r="BE364" s="161"/>
      <c r="BF364" s="161"/>
      <c r="BG364" s="161"/>
      <c r="BH364" s="161"/>
      <c r="BI364" s="161"/>
      <c r="BJ364" s="161"/>
      <c r="BK364" s="161"/>
      <c r="BL364" s="161"/>
      <c r="BM364" s="161"/>
      <c r="BN364" s="162"/>
      <c r="BO364" s="251"/>
      <c r="BP364" s="250"/>
      <c r="BQ364" s="250"/>
      <c r="BR364" s="250"/>
      <c r="BS364" s="250"/>
      <c r="BT364" s="250"/>
      <c r="BU364" s="250"/>
      <c r="BY364" s="250"/>
    </row>
    <row r="365" spans="3:78" ht="11.25" customHeight="1">
      <c r="C365" s="306"/>
      <c r="D365" s="367"/>
      <c r="E365" s="370"/>
      <c r="F365" s="406"/>
      <c r="G365" s="376"/>
      <c r="H365" s="379"/>
      <c r="I365" s="382"/>
      <c r="J365" s="382"/>
      <c r="K365" s="385"/>
      <c r="L365" s="388"/>
      <c r="M365" s="391"/>
      <c r="N365" s="393"/>
      <c r="O365" s="396">
        <v>1</v>
      </c>
      <c r="P365" s="399" t="s">
        <v>1297</v>
      </c>
      <c r="Q365" s="402"/>
      <c r="R365" s="361" t="s">
        <v>154</v>
      </c>
      <c r="S365" s="361" t="s">
        <v>154</v>
      </c>
      <c r="T365" s="361" t="s">
        <v>154</v>
      </c>
      <c r="U365" s="361" t="s">
        <v>154</v>
      </c>
      <c r="V365" s="361" t="s">
        <v>154</v>
      </c>
      <c r="W365" s="361" t="s">
        <v>154</v>
      </c>
      <c r="X365" s="361" t="s">
        <v>154</v>
      </c>
      <c r="Y365" s="361" t="s">
        <v>154</v>
      </c>
      <c r="Z365" s="361" t="s">
        <v>154</v>
      </c>
      <c r="AA365" s="361" t="s">
        <v>154</v>
      </c>
      <c r="AB365" s="361" t="s">
        <v>154</v>
      </c>
      <c r="AC365" s="361" t="s">
        <v>154</v>
      </c>
      <c r="AD365" s="361" t="s">
        <v>154</v>
      </c>
      <c r="AE365" s="209"/>
      <c r="AF365" s="220">
        <v>0</v>
      </c>
      <c r="AG365" s="219" t="s">
        <v>308</v>
      </c>
      <c r="AH365" s="219"/>
      <c r="AI365" s="219"/>
      <c r="AJ365" s="219"/>
      <c r="AK365" s="219"/>
      <c r="AL365" s="219"/>
      <c r="AM365" s="219"/>
      <c r="AN365" s="219"/>
      <c r="AO365" s="219"/>
      <c r="AP365" s="164"/>
      <c r="AQ365" s="164"/>
      <c r="AR365" s="164"/>
      <c r="AS365" s="164"/>
      <c r="AT365" s="164"/>
      <c r="AU365" s="164"/>
      <c r="AV365" s="164"/>
      <c r="AW365" s="164"/>
      <c r="AX365" s="164"/>
      <c r="AY365" s="164"/>
      <c r="AZ365" s="164"/>
      <c r="BA365" s="164"/>
      <c r="BB365" s="164"/>
      <c r="BC365" s="164"/>
      <c r="BD365" s="164"/>
      <c r="BE365" s="164"/>
      <c r="BF365" s="164"/>
      <c r="BG365" s="164"/>
      <c r="BH365" s="164"/>
      <c r="BI365" s="164"/>
      <c r="BJ365" s="164"/>
      <c r="BK365" s="164"/>
      <c r="BL365" s="164"/>
      <c r="BM365" s="164"/>
      <c r="BN365" s="165"/>
      <c r="BO365" s="251"/>
      <c r="BP365" s="364" t="s">
        <v>1298</v>
      </c>
      <c r="BQ365" s="364" t="s">
        <v>1298</v>
      </c>
      <c r="BR365" s="364" t="s">
        <v>1298</v>
      </c>
      <c r="BS365" s="250"/>
      <c r="BT365" s="364" t="s">
        <v>1298</v>
      </c>
      <c r="BU365" s="364" t="s">
        <v>1298</v>
      </c>
      <c r="BV365" s="364" t="s">
        <v>1298</v>
      </c>
      <c r="BW365" s="364" t="s">
        <v>1298</v>
      </c>
      <c r="BX365" s="364" t="s">
        <v>1298</v>
      </c>
      <c r="BY365" s="250"/>
    </row>
    <row r="366" spans="3:78" ht="14.25">
      <c r="C366" s="306"/>
      <c r="D366" s="367"/>
      <c r="E366" s="370"/>
      <c r="F366" s="406"/>
      <c r="G366" s="376"/>
      <c r="H366" s="379"/>
      <c r="I366" s="382"/>
      <c r="J366" s="382"/>
      <c r="K366" s="385"/>
      <c r="L366" s="388"/>
      <c r="M366" s="391"/>
      <c r="N366" s="394"/>
      <c r="O366" s="397"/>
      <c r="P366" s="400"/>
      <c r="Q366" s="403"/>
      <c r="R366" s="362"/>
      <c r="S366" s="362"/>
      <c r="T366" s="362"/>
      <c r="U366" s="362"/>
      <c r="V366" s="362"/>
      <c r="W366" s="362"/>
      <c r="X366" s="362"/>
      <c r="Y366" s="362"/>
      <c r="Z366" s="362"/>
      <c r="AA366" s="362"/>
      <c r="AB366" s="362"/>
      <c r="AC366" s="362"/>
      <c r="AD366" s="362"/>
      <c r="AE366" s="193"/>
      <c r="AF366" s="217" t="s">
        <v>268</v>
      </c>
      <c r="AG366" s="158" t="s">
        <v>221</v>
      </c>
      <c r="AH366" s="300" t="s">
        <v>19</v>
      </c>
      <c r="AI366" s="301" t="s">
        <v>154</v>
      </c>
      <c r="AJ366" s="221"/>
      <c r="AK366" s="221"/>
      <c r="AL366" s="221"/>
      <c r="AM366" s="221"/>
      <c r="AN366" s="221"/>
      <c r="AO366" s="221"/>
      <c r="AP366" s="302" t="s">
        <v>19</v>
      </c>
      <c r="AQ366" s="195">
        <f>SUM(AT366,AW366,AZ366,BC366,BF366,BI366,BL366)</f>
        <v>2732.2475060401084</v>
      </c>
      <c r="AR366" s="197">
        <f>SUM(AT366,AX366,BA366,BD366,BG366,BJ366,BM366)</f>
        <v>0</v>
      </c>
      <c r="AS366" s="195">
        <f>AQ366-AR366</f>
        <v>2732.2475060401084</v>
      </c>
      <c r="AT366" s="312"/>
      <c r="AU366" s="312"/>
      <c r="AV366" s="244"/>
      <c r="AW366" s="159">
        <v>2732.2475060401084</v>
      </c>
      <c r="AX366" s="312"/>
      <c r="AY366" s="194">
        <f>AW366-AX366</f>
        <v>2732.2475060401084</v>
      </c>
      <c r="AZ366" s="160"/>
      <c r="BA366" s="312"/>
      <c r="BB366" s="194">
        <f>AZ366-BA366</f>
        <v>0</v>
      </c>
      <c r="BC366" s="159"/>
      <c r="BD366" s="312"/>
      <c r="BE366" s="194">
        <f>BC366-BD366</f>
        <v>0</v>
      </c>
      <c r="BF366" s="159"/>
      <c r="BG366" s="244"/>
      <c r="BH366" s="194">
        <f>BF366-BG366</f>
        <v>0</v>
      </c>
      <c r="BI366" s="159"/>
      <c r="BJ366" s="244"/>
      <c r="BK366" s="194">
        <f>BI366-BJ366</f>
        <v>0</v>
      </c>
      <c r="BL366" s="312"/>
      <c r="BM366" s="312"/>
      <c r="BN366" s="195">
        <f>BL366-BM366</f>
        <v>0</v>
      </c>
      <c r="BO366" s="251">
        <v>0</v>
      </c>
      <c r="BP366" s="364"/>
      <c r="BQ366" s="364"/>
      <c r="BR366" s="364"/>
      <c r="BS366" s="249" t="str">
        <f>AG366 &amp; BO366</f>
        <v>Амортизационные отчисления0</v>
      </c>
      <c r="BT366" s="364"/>
      <c r="BU366" s="364"/>
      <c r="BV366" s="364"/>
      <c r="BW366" s="364"/>
      <c r="BX366" s="364"/>
      <c r="BY366" s="249" t="str">
        <f>AG366&amp;AH366</f>
        <v>Амортизационные отчислениянет</v>
      </c>
      <c r="BZ366" s="250"/>
    </row>
    <row r="367" spans="3:78" ht="14.25">
      <c r="C367" s="97"/>
      <c r="D367" s="367"/>
      <c r="E367" s="370"/>
      <c r="F367" s="406"/>
      <c r="G367" s="376"/>
      <c r="H367" s="379"/>
      <c r="I367" s="382"/>
      <c r="J367" s="382"/>
      <c r="K367" s="385"/>
      <c r="L367" s="388"/>
      <c r="M367" s="391"/>
      <c r="N367" s="394"/>
      <c r="O367" s="397"/>
      <c r="P367" s="400"/>
      <c r="Q367" s="403"/>
      <c r="R367" s="362"/>
      <c r="S367" s="362"/>
      <c r="T367" s="362"/>
      <c r="U367" s="362"/>
      <c r="V367" s="362"/>
      <c r="W367" s="362"/>
      <c r="X367" s="362"/>
      <c r="Y367" s="362"/>
      <c r="Z367" s="362"/>
      <c r="AA367" s="362"/>
      <c r="AB367" s="362"/>
      <c r="AC367" s="362"/>
      <c r="AD367" s="362"/>
      <c r="AE367" s="322" t="s">
        <v>1240</v>
      </c>
      <c r="AF367" s="217" t="s">
        <v>118</v>
      </c>
      <c r="AG367" s="196" t="s">
        <v>223</v>
      </c>
      <c r="AH367" s="302" t="s">
        <v>19</v>
      </c>
      <c r="AI367" s="301" t="s">
        <v>154</v>
      </c>
      <c r="AJ367" s="221"/>
      <c r="AK367" s="221"/>
      <c r="AL367" s="221"/>
      <c r="AM367" s="221"/>
      <c r="AN367" s="221"/>
      <c r="AO367" s="221"/>
      <c r="AP367" s="302" t="s">
        <v>19</v>
      </c>
      <c r="AQ367" s="195">
        <f>SUM(AT367,AW367,AZ367,BC367,BF367,BI367,BL367)</f>
        <v>546.4495012080215</v>
      </c>
      <c r="AR367" s="197">
        <f>SUM(AT367,AX367,BA367,BD367,BG367,BJ367,BM367)</f>
        <v>0</v>
      </c>
      <c r="AS367" s="195">
        <f>AQ367-AR367</f>
        <v>546.4495012080215</v>
      </c>
      <c r="AT367" s="315"/>
      <c r="AU367" s="315"/>
      <c r="AV367" s="241"/>
      <c r="AW367" s="198">
        <f>3278.69700724813-AW366</f>
        <v>546.4495012080215</v>
      </c>
      <c r="AX367" s="313"/>
      <c r="AY367" s="199">
        <f>AW367-AX367</f>
        <v>546.4495012080215</v>
      </c>
      <c r="AZ367" s="173"/>
      <c r="BA367" s="313"/>
      <c r="BB367" s="199">
        <f>AZ367-BA367</f>
        <v>0</v>
      </c>
      <c r="BC367" s="198"/>
      <c r="BD367" s="313"/>
      <c r="BE367" s="199">
        <f>BC367-BD367</f>
        <v>0</v>
      </c>
      <c r="BF367" s="198"/>
      <c r="BG367" s="241"/>
      <c r="BH367" s="199">
        <f>BF367-BG367</f>
        <v>0</v>
      </c>
      <c r="BI367" s="198"/>
      <c r="BJ367" s="241"/>
      <c r="BK367" s="199">
        <f>BI367-BJ367</f>
        <v>0</v>
      </c>
      <c r="BL367" s="313"/>
      <c r="BM367" s="313"/>
      <c r="BN367" s="195">
        <f>BL367-BM367</f>
        <v>0</v>
      </c>
      <c r="BO367" s="251">
        <v>0</v>
      </c>
      <c r="BP367" s="364"/>
      <c r="BQ367" s="364"/>
      <c r="BR367" s="364"/>
      <c r="BS367" s="249" t="str">
        <f>AG367 &amp; BO367</f>
        <v>Прочие собственные средства0</v>
      </c>
      <c r="BT367" s="364"/>
      <c r="BU367" s="364"/>
      <c r="BV367" s="364"/>
      <c r="BW367" s="364"/>
      <c r="BX367" s="364"/>
      <c r="BY367" s="249" t="str">
        <f>AG367&amp;AH367</f>
        <v>Прочие собственные средстванет</v>
      </c>
      <c r="BZ367" s="250"/>
    </row>
    <row r="368" spans="3:78" ht="15" customHeight="1">
      <c r="C368" s="306"/>
      <c r="D368" s="367"/>
      <c r="E368" s="370"/>
      <c r="F368" s="406"/>
      <c r="G368" s="376"/>
      <c r="H368" s="379"/>
      <c r="I368" s="382"/>
      <c r="J368" s="382"/>
      <c r="K368" s="385"/>
      <c r="L368" s="388"/>
      <c r="M368" s="391"/>
      <c r="N368" s="395"/>
      <c r="O368" s="398"/>
      <c r="P368" s="401"/>
      <c r="Q368" s="404"/>
      <c r="R368" s="363"/>
      <c r="S368" s="363"/>
      <c r="T368" s="363"/>
      <c r="U368" s="363"/>
      <c r="V368" s="363"/>
      <c r="W368" s="363"/>
      <c r="X368" s="363"/>
      <c r="Y368" s="363"/>
      <c r="Z368" s="363"/>
      <c r="AA368" s="363"/>
      <c r="AB368" s="363"/>
      <c r="AC368" s="363"/>
      <c r="AD368" s="363"/>
      <c r="AE368" s="279" t="s">
        <v>379</v>
      </c>
      <c r="AF368" s="203"/>
      <c r="AG368" s="223" t="s">
        <v>24</v>
      </c>
      <c r="AH368" s="223"/>
      <c r="AI368" s="223"/>
      <c r="AJ368" s="223"/>
      <c r="AK368" s="223"/>
      <c r="AL368" s="223"/>
      <c r="AM368" s="223"/>
      <c r="AN368" s="223"/>
      <c r="AO368" s="223"/>
      <c r="AP368" s="168"/>
      <c r="AQ368" s="169"/>
      <c r="AR368" s="169"/>
      <c r="AS368" s="169"/>
      <c r="AT368" s="169"/>
      <c r="AU368" s="169"/>
      <c r="AV368" s="169"/>
      <c r="AW368" s="169"/>
      <c r="AX368" s="169"/>
      <c r="AY368" s="169"/>
      <c r="AZ368" s="169"/>
      <c r="BA368" s="169"/>
      <c r="BB368" s="169"/>
      <c r="BC368" s="169"/>
      <c r="BD368" s="169"/>
      <c r="BE368" s="169"/>
      <c r="BF368" s="169"/>
      <c r="BG368" s="169"/>
      <c r="BH368" s="169"/>
      <c r="BI368" s="169"/>
      <c r="BJ368" s="169"/>
      <c r="BK368" s="169"/>
      <c r="BL368" s="169"/>
      <c r="BM368" s="169"/>
      <c r="BN368" s="170"/>
      <c r="BO368" s="251"/>
      <c r="BP368" s="364"/>
      <c r="BQ368" s="364"/>
      <c r="BR368" s="364"/>
      <c r="BS368" s="250"/>
      <c r="BT368" s="364"/>
      <c r="BU368" s="364"/>
      <c r="BV368" s="364"/>
      <c r="BW368" s="364"/>
      <c r="BX368" s="364"/>
      <c r="BY368" s="250"/>
    </row>
    <row r="369" spans="3:78" ht="15" customHeight="1" thickBot="1">
      <c r="C369" s="307"/>
      <c r="D369" s="368"/>
      <c r="E369" s="371"/>
      <c r="F369" s="407"/>
      <c r="G369" s="377"/>
      <c r="H369" s="380"/>
      <c r="I369" s="383"/>
      <c r="J369" s="383"/>
      <c r="K369" s="386"/>
      <c r="L369" s="389"/>
      <c r="M369" s="392"/>
      <c r="N369" s="280" t="s">
        <v>380</v>
      </c>
      <c r="O369" s="212"/>
      <c r="P369" s="365" t="s">
        <v>154</v>
      </c>
      <c r="Q369" s="365"/>
      <c r="R369" s="171"/>
      <c r="S369" s="171"/>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7"/>
      <c r="BO369" s="251"/>
      <c r="BP369" s="250"/>
      <c r="BQ369" s="250"/>
      <c r="BR369" s="250"/>
      <c r="BS369" s="250"/>
      <c r="BT369" s="250"/>
      <c r="BU369" s="250"/>
      <c r="BY369" s="250"/>
    </row>
    <row r="370" spans="3:78" ht="11.25" customHeight="1">
      <c r="C370" s="97" t="s">
        <v>1240</v>
      </c>
      <c r="D370" s="366" t="s">
        <v>1336</v>
      </c>
      <c r="E370" s="369" t="s">
        <v>199</v>
      </c>
      <c r="F370" s="405" t="s">
        <v>209</v>
      </c>
      <c r="G370" s="375" t="s">
        <v>1479</v>
      </c>
      <c r="H370" s="378" t="s">
        <v>715</v>
      </c>
      <c r="I370" s="381" t="s">
        <v>715</v>
      </c>
      <c r="J370" s="381" t="s">
        <v>716</v>
      </c>
      <c r="K370" s="384">
        <v>2</v>
      </c>
      <c r="L370" s="387" t="s">
        <v>5</v>
      </c>
      <c r="M370" s="390">
        <v>0</v>
      </c>
      <c r="N370" s="163"/>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1"/>
      <c r="AY370" s="161"/>
      <c r="AZ370" s="161"/>
      <c r="BA370" s="161"/>
      <c r="BB370" s="161"/>
      <c r="BC370" s="161"/>
      <c r="BD370" s="161"/>
      <c r="BE370" s="161"/>
      <c r="BF370" s="161"/>
      <c r="BG370" s="161"/>
      <c r="BH370" s="161"/>
      <c r="BI370" s="161"/>
      <c r="BJ370" s="161"/>
      <c r="BK370" s="161"/>
      <c r="BL370" s="161"/>
      <c r="BM370" s="161"/>
      <c r="BN370" s="162"/>
      <c r="BO370" s="251"/>
      <c r="BP370" s="250"/>
      <c r="BQ370" s="250"/>
      <c r="BR370" s="250"/>
      <c r="BS370" s="250"/>
      <c r="BT370" s="250"/>
      <c r="BU370" s="250"/>
      <c r="BY370" s="250"/>
    </row>
    <row r="371" spans="3:78" ht="11.25" customHeight="1">
      <c r="C371" s="306"/>
      <c r="D371" s="367"/>
      <c r="E371" s="370"/>
      <c r="F371" s="406"/>
      <c r="G371" s="376"/>
      <c r="H371" s="379"/>
      <c r="I371" s="382"/>
      <c r="J371" s="382"/>
      <c r="K371" s="385"/>
      <c r="L371" s="388"/>
      <c r="M371" s="391"/>
      <c r="N371" s="393"/>
      <c r="O371" s="396">
        <v>1</v>
      </c>
      <c r="P371" s="399" t="s">
        <v>1297</v>
      </c>
      <c r="Q371" s="402"/>
      <c r="R371" s="361" t="s">
        <v>154</v>
      </c>
      <c r="S371" s="361" t="s">
        <v>154</v>
      </c>
      <c r="T371" s="361" t="s">
        <v>154</v>
      </c>
      <c r="U371" s="361" t="s">
        <v>154</v>
      </c>
      <c r="V371" s="361" t="s">
        <v>154</v>
      </c>
      <c r="W371" s="361" t="s">
        <v>154</v>
      </c>
      <c r="X371" s="361" t="s">
        <v>154</v>
      </c>
      <c r="Y371" s="361" t="s">
        <v>154</v>
      </c>
      <c r="Z371" s="361" t="s">
        <v>154</v>
      </c>
      <c r="AA371" s="361" t="s">
        <v>154</v>
      </c>
      <c r="AB371" s="361" t="s">
        <v>154</v>
      </c>
      <c r="AC371" s="361" t="s">
        <v>154</v>
      </c>
      <c r="AD371" s="361" t="s">
        <v>154</v>
      </c>
      <c r="AE371" s="209"/>
      <c r="AF371" s="220">
        <v>0</v>
      </c>
      <c r="AG371" s="219" t="s">
        <v>308</v>
      </c>
      <c r="AH371" s="219"/>
      <c r="AI371" s="219"/>
      <c r="AJ371" s="219"/>
      <c r="AK371" s="219"/>
      <c r="AL371" s="219"/>
      <c r="AM371" s="219"/>
      <c r="AN371" s="219"/>
      <c r="AO371" s="219"/>
      <c r="AP371" s="164"/>
      <c r="AQ371" s="164"/>
      <c r="AR371" s="164"/>
      <c r="AS371" s="164"/>
      <c r="AT371" s="164"/>
      <c r="AU371" s="164"/>
      <c r="AV371" s="164"/>
      <c r="AW371" s="164"/>
      <c r="AX371" s="164"/>
      <c r="AY371" s="164"/>
      <c r="AZ371" s="164"/>
      <c r="BA371" s="164"/>
      <c r="BB371" s="164"/>
      <c r="BC371" s="164"/>
      <c r="BD371" s="164"/>
      <c r="BE371" s="164"/>
      <c r="BF371" s="164"/>
      <c r="BG371" s="164"/>
      <c r="BH371" s="164"/>
      <c r="BI371" s="164"/>
      <c r="BJ371" s="164"/>
      <c r="BK371" s="164"/>
      <c r="BL371" s="164"/>
      <c r="BM371" s="164"/>
      <c r="BN371" s="165"/>
      <c r="BO371" s="251"/>
      <c r="BP371" s="364" t="s">
        <v>1298</v>
      </c>
      <c r="BQ371" s="364" t="s">
        <v>1298</v>
      </c>
      <c r="BR371" s="364" t="s">
        <v>1298</v>
      </c>
      <c r="BS371" s="250"/>
      <c r="BT371" s="364" t="s">
        <v>1298</v>
      </c>
      <c r="BU371" s="364" t="s">
        <v>1298</v>
      </c>
      <c r="BV371" s="364" t="s">
        <v>1298</v>
      </c>
      <c r="BW371" s="364" t="s">
        <v>1298</v>
      </c>
      <c r="BX371" s="364" t="s">
        <v>1298</v>
      </c>
      <c r="BY371" s="250"/>
    </row>
    <row r="372" spans="3:78" ht="14.25">
      <c r="C372" s="306"/>
      <c r="D372" s="367"/>
      <c r="E372" s="370"/>
      <c r="F372" s="406"/>
      <c r="G372" s="376"/>
      <c r="H372" s="379"/>
      <c r="I372" s="382"/>
      <c r="J372" s="382"/>
      <c r="K372" s="385"/>
      <c r="L372" s="388"/>
      <c r="M372" s="391"/>
      <c r="N372" s="394"/>
      <c r="O372" s="397"/>
      <c r="P372" s="400"/>
      <c r="Q372" s="403"/>
      <c r="R372" s="362"/>
      <c r="S372" s="362"/>
      <c r="T372" s="362"/>
      <c r="U372" s="362"/>
      <c r="V372" s="362"/>
      <c r="W372" s="362"/>
      <c r="X372" s="362"/>
      <c r="Y372" s="362"/>
      <c r="Z372" s="362"/>
      <c r="AA372" s="362"/>
      <c r="AB372" s="362"/>
      <c r="AC372" s="362"/>
      <c r="AD372" s="362"/>
      <c r="AE372" s="193"/>
      <c r="AF372" s="217" t="s">
        <v>268</v>
      </c>
      <c r="AG372" s="158" t="s">
        <v>221</v>
      </c>
      <c r="AH372" s="300" t="s">
        <v>19</v>
      </c>
      <c r="AI372" s="301" t="s">
        <v>154</v>
      </c>
      <c r="AJ372" s="221"/>
      <c r="AK372" s="221"/>
      <c r="AL372" s="221"/>
      <c r="AM372" s="221"/>
      <c r="AN372" s="221"/>
      <c r="AO372" s="221"/>
      <c r="AP372" s="302" t="s">
        <v>19</v>
      </c>
      <c r="AQ372" s="195">
        <f>SUM(AT372,AW372,AZ372,BC372,BF372,BI372,BL372)</f>
        <v>99062.537522468439</v>
      </c>
      <c r="AR372" s="197">
        <f>SUM(AT372,AX372,BA372,BD372,BG372,BJ372,BM372)</f>
        <v>0</v>
      </c>
      <c r="AS372" s="195">
        <f>AQ372-AR372</f>
        <v>99062.537522468439</v>
      </c>
      <c r="AT372" s="312"/>
      <c r="AU372" s="312"/>
      <c r="AV372" s="244"/>
      <c r="AW372" s="159">
        <v>2358.5150328817667</v>
      </c>
      <c r="AX372" s="312"/>
      <c r="AY372" s="194">
        <f>AW372-AX372</f>
        <v>2358.5150328817667</v>
      </c>
      <c r="AZ372" s="160"/>
      <c r="BA372" s="312"/>
      <c r="BB372" s="194">
        <f>AZ372-BA372</f>
        <v>0</v>
      </c>
      <c r="BC372" s="159">
        <v>96704.02248958667</v>
      </c>
      <c r="BD372" s="312"/>
      <c r="BE372" s="194">
        <f>BC372-BD372</f>
        <v>96704.02248958667</v>
      </c>
      <c r="BF372" s="159"/>
      <c r="BG372" s="244"/>
      <c r="BH372" s="194">
        <f>BF372-BG372</f>
        <v>0</v>
      </c>
      <c r="BI372" s="159"/>
      <c r="BJ372" s="244"/>
      <c r="BK372" s="194">
        <f>BI372-BJ372</f>
        <v>0</v>
      </c>
      <c r="BL372" s="312"/>
      <c r="BM372" s="312"/>
      <c r="BN372" s="195">
        <f>BL372-BM372</f>
        <v>0</v>
      </c>
      <c r="BO372" s="251">
        <v>0</v>
      </c>
      <c r="BP372" s="364"/>
      <c r="BQ372" s="364"/>
      <c r="BR372" s="364"/>
      <c r="BS372" s="249" t="str">
        <f>AG372 &amp; BO372</f>
        <v>Амортизационные отчисления0</v>
      </c>
      <c r="BT372" s="364"/>
      <c r="BU372" s="364"/>
      <c r="BV372" s="364"/>
      <c r="BW372" s="364"/>
      <c r="BX372" s="364"/>
      <c r="BY372" s="249" t="str">
        <f>AG372&amp;AH372</f>
        <v>Амортизационные отчислениянет</v>
      </c>
      <c r="BZ372" s="250"/>
    </row>
    <row r="373" spans="3:78" ht="14.25">
      <c r="C373" s="97"/>
      <c r="D373" s="367"/>
      <c r="E373" s="370"/>
      <c r="F373" s="406"/>
      <c r="G373" s="376"/>
      <c r="H373" s="379"/>
      <c r="I373" s="382"/>
      <c r="J373" s="382"/>
      <c r="K373" s="385"/>
      <c r="L373" s="388"/>
      <c r="M373" s="391"/>
      <c r="N373" s="394"/>
      <c r="O373" s="397"/>
      <c r="P373" s="400"/>
      <c r="Q373" s="403"/>
      <c r="R373" s="362"/>
      <c r="S373" s="362"/>
      <c r="T373" s="362"/>
      <c r="U373" s="362"/>
      <c r="V373" s="362"/>
      <c r="W373" s="362"/>
      <c r="X373" s="362"/>
      <c r="Y373" s="362"/>
      <c r="Z373" s="362"/>
      <c r="AA373" s="362"/>
      <c r="AB373" s="362"/>
      <c r="AC373" s="362"/>
      <c r="AD373" s="362"/>
      <c r="AE373" s="322" t="s">
        <v>1240</v>
      </c>
      <c r="AF373" s="217" t="s">
        <v>118</v>
      </c>
      <c r="AG373" s="196" t="s">
        <v>223</v>
      </c>
      <c r="AH373" s="302" t="s">
        <v>19</v>
      </c>
      <c r="AI373" s="301" t="s">
        <v>154</v>
      </c>
      <c r="AJ373" s="221"/>
      <c r="AK373" s="221"/>
      <c r="AL373" s="221"/>
      <c r="AM373" s="221"/>
      <c r="AN373" s="221"/>
      <c r="AO373" s="221"/>
      <c r="AP373" s="302" t="s">
        <v>19</v>
      </c>
      <c r="AQ373" s="195">
        <f>SUM(AT373,AW373,AZ373,BC373,BF373,BI373,BL373)</f>
        <v>19812.507504493682</v>
      </c>
      <c r="AR373" s="197">
        <f>SUM(AT373,AX373,BA373,BD373,BG373,BJ373,BM373)</f>
        <v>0</v>
      </c>
      <c r="AS373" s="195">
        <f>AQ373-AR373</f>
        <v>19812.507504493682</v>
      </c>
      <c r="AT373" s="315"/>
      <c r="AU373" s="315"/>
      <c r="AV373" s="241"/>
      <c r="AW373" s="198">
        <f>2830.21803945812-AW372</f>
        <v>471.70300657635335</v>
      </c>
      <c r="AX373" s="313"/>
      <c r="AY373" s="199">
        <f>AW373-AX373</f>
        <v>471.70300657635335</v>
      </c>
      <c r="AZ373" s="173"/>
      <c r="BA373" s="313"/>
      <c r="BB373" s="199">
        <f>AZ373-BA373</f>
        <v>0</v>
      </c>
      <c r="BC373" s="198">
        <f>116044.826987504-BC372</f>
        <v>19340.804497917328</v>
      </c>
      <c r="BD373" s="313"/>
      <c r="BE373" s="199">
        <f>BC373-BD373</f>
        <v>19340.804497917328</v>
      </c>
      <c r="BF373" s="198"/>
      <c r="BG373" s="241"/>
      <c r="BH373" s="199">
        <f>BF373-BG373</f>
        <v>0</v>
      </c>
      <c r="BI373" s="198"/>
      <c r="BJ373" s="241"/>
      <c r="BK373" s="199">
        <f>BI373-BJ373</f>
        <v>0</v>
      </c>
      <c r="BL373" s="313"/>
      <c r="BM373" s="313"/>
      <c r="BN373" s="195">
        <f>BL373-BM373</f>
        <v>0</v>
      </c>
      <c r="BO373" s="251">
        <v>0</v>
      </c>
      <c r="BP373" s="364"/>
      <c r="BQ373" s="364"/>
      <c r="BR373" s="364"/>
      <c r="BS373" s="249" t="str">
        <f>AG373 &amp; BO373</f>
        <v>Прочие собственные средства0</v>
      </c>
      <c r="BT373" s="364"/>
      <c r="BU373" s="364"/>
      <c r="BV373" s="364"/>
      <c r="BW373" s="364"/>
      <c r="BX373" s="364"/>
      <c r="BY373" s="249" t="str">
        <f>AG373&amp;AH373</f>
        <v>Прочие собственные средстванет</v>
      </c>
      <c r="BZ373" s="250"/>
    </row>
    <row r="374" spans="3:78" ht="15" customHeight="1">
      <c r="C374" s="306"/>
      <c r="D374" s="367"/>
      <c r="E374" s="370"/>
      <c r="F374" s="406"/>
      <c r="G374" s="376"/>
      <c r="H374" s="379"/>
      <c r="I374" s="382"/>
      <c r="J374" s="382"/>
      <c r="K374" s="385"/>
      <c r="L374" s="388"/>
      <c r="M374" s="391"/>
      <c r="N374" s="395"/>
      <c r="O374" s="398"/>
      <c r="P374" s="401"/>
      <c r="Q374" s="404"/>
      <c r="R374" s="363"/>
      <c r="S374" s="363"/>
      <c r="T374" s="363"/>
      <c r="U374" s="363"/>
      <c r="V374" s="363"/>
      <c r="W374" s="363"/>
      <c r="X374" s="363"/>
      <c r="Y374" s="363"/>
      <c r="Z374" s="363"/>
      <c r="AA374" s="363"/>
      <c r="AB374" s="363"/>
      <c r="AC374" s="363"/>
      <c r="AD374" s="363"/>
      <c r="AE374" s="279" t="s">
        <v>379</v>
      </c>
      <c r="AF374" s="203"/>
      <c r="AG374" s="223" t="s">
        <v>24</v>
      </c>
      <c r="AH374" s="223"/>
      <c r="AI374" s="223"/>
      <c r="AJ374" s="223"/>
      <c r="AK374" s="223"/>
      <c r="AL374" s="223"/>
      <c r="AM374" s="223"/>
      <c r="AN374" s="223"/>
      <c r="AO374" s="223"/>
      <c r="AP374" s="168"/>
      <c r="AQ374" s="169"/>
      <c r="AR374" s="169"/>
      <c r="AS374" s="169"/>
      <c r="AT374" s="169"/>
      <c r="AU374" s="169"/>
      <c r="AV374" s="169"/>
      <c r="AW374" s="169"/>
      <c r="AX374" s="169"/>
      <c r="AY374" s="169"/>
      <c r="AZ374" s="169"/>
      <c r="BA374" s="169"/>
      <c r="BB374" s="169"/>
      <c r="BC374" s="169"/>
      <c r="BD374" s="169"/>
      <c r="BE374" s="169"/>
      <c r="BF374" s="169"/>
      <c r="BG374" s="169"/>
      <c r="BH374" s="169"/>
      <c r="BI374" s="169"/>
      <c r="BJ374" s="169"/>
      <c r="BK374" s="169"/>
      <c r="BL374" s="169"/>
      <c r="BM374" s="169"/>
      <c r="BN374" s="170"/>
      <c r="BO374" s="251"/>
      <c r="BP374" s="364"/>
      <c r="BQ374" s="364"/>
      <c r="BR374" s="364"/>
      <c r="BS374" s="250"/>
      <c r="BT374" s="364"/>
      <c r="BU374" s="364"/>
      <c r="BV374" s="364"/>
      <c r="BW374" s="364"/>
      <c r="BX374" s="364"/>
      <c r="BY374" s="250"/>
    </row>
    <row r="375" spans="3:78" ht="15" customHeight="1" thickBot="1">
      <c r="C375" s="307"/>
      <c r="D375" s="368"/>
      <c r="E375" s="371"/>
      <c r="F375" s="407"/>
      <c r="G375" s="377"/>
      <c r="H375" s="380"/>
      <c r="I375" s="383"/>
      <c r="J375" s="383"/>
      <c r="K375" s="386"/>
      <c r="L375" s="389"/>
      <c r="M375" s="392"/>
      <c r="N375" s="280" t="s">
        <v>380</v>
      </c>
      <c r="O375" s="212"/>
      <c r="P375" s="365" t="s">
        <v>154</v>
      </c>
      <c r="Q375" s="365"/>
      <c r="R375" s="171"/>
      <c r="S375" s="171"/>
      <c r="T375" s="166"/>
      <c r="U375" s="166"/>
      <c r="V375" s="166"/>
      <c r="W375" s="166"/>
      <c r="X375" s="166"/>
      <c r="Y375" s="166"/>
      <c r="Z375" s="166"/>
      <c r="AA375" s="166"/>
      <c r="AB375" s="166"/>
      <c r="AC375" s="166"/>
      <c r="AD375" s="166"/>
      <c r="AE375" s="166"/>
      <c r="AF375" s="166"/>
      <c r="AG375" s="166"/>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7"/>
      <c r="BO375" s="251"/>
      <c r="BP375" s="250"/>
      <c r="BQ375" s="250"/>
      <c r="BR375" s="250"/>
      <c r="BS375" s="250"/>
      <c r="BT375" s="250"/>
      <c r="BU375" s="250"/>
      <c r="BY375" s="250"/>
    </row>
    <row r="376" spans="3:78" ht="11.25" customHeight="1">
      <c r="C376" s="97" t="s">
        <v>1240</v>
      </c>
      <c r="D376" s="366" t="s">
        <v>1337</v>
      </c>
      <c r="E376" s="369" t="s">
        <v>199</v>
      </c>
      <c r="F376" s="405" t="s">
        <v>209</v>
      </c>
      <c r="G376" s="375" t="s">
        <v>1352</v>
      </c>
      <c r="H376" s="378" t="s">
        <v>715</v>
      </c>
      <c r="I376" s="381" t="s">
        <v>715</v>
      </c>
      <c r="J376" s="381" t="s">
        <v>716</v>
      </c>
      <c r="K376" s="384">
        <v>1</v>
      </c>
      <c r="L376" s="387" t="s">
        <v>3</v>
      </c>
      <c r="M376" s="390">
        <v>0</v>
      </c>
      <c r="N376" s="163"/>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c r="AX376" s="161"/>
      <c r="AY376" s="161"/>
      <c r="AZ376" s="161"/>
      <c r="BA376" s="161"/>
      <c r="BB376" s="161"/>
      <c r="BC376" s="161"/>
      <c r="BD376" s="161"/>
      <c r="BE376" s="161"/>
      <c r="BF376" s="161"/>
      <c r="BG376" s="161"/>
      <c r="BH376" s="161"/>
      <c r="BI376" s="161"/>
      <c r="BJ376" s="161"/>
      <c r="BK376" s="161"/>
      <c r="BL376" s="161"/>
      <c r="BM376" s="161"/>
      <c r="BN376" s="162"/>
      <c r="BO376" s="251"/>
      <c r="BP376" s="250"/>
      <c r="BQ376" s="250"/>
      <c r="BR376" s="250"/>
      <c r="BS376" s="250"/>
      <c r="BT376" s="250"/>
      <c r="BU376" s="250"/>
      <c r="BY376" s="250"/>
    </row>
    <row r="377" spans="3:78" ht="11.25" customHeight="1">
      <c r="C377" s="306"/>
      <c r="D377" s="367"/>
      <c r="E377" s="370"/>
      <c r="F377" s="406"/>
      <c r="G377" s="376"/>
      <c r="H377" s="379"/>
      <c r="I377" s="382"/>
      <c r="J377" s="382"/>
      <c r="K377" s="385"/>
      <c r="L377" s="388"/>
      <c r="M377" s="391"/>
      <c r="N377" s="393"/>
      <c r="O377" s="396">
        <v>1</v>
      </c>
      <c r="P377" s="399" t="s">
        <v>1297</v>
      </c>
      <c r="Q377" s="402"/>
      <c r="R377" s="361" t="s">
        <v>154</v>
      </c>
      <c r="S377" s="361" t="s">
        <v>154</v>
      </c>
      <c r="T377" s="361" t="s">
        <v>154</v>
      </c>
      <c r="U377" s="361" t="s">
        <v>154</v>
      </c>
      <c r="V377" s="361" t="s">
        <v>154</v>
      </c>
      <c r="W377" s="361" t="s">
        <v>154</v>
      </c>
      <c r="X377" s="361" t="s">
        <v>154</v>
      </c>
      <c r="Y377" s="361" t="s">
        <v>154</v>
      </c>
      <c r="Z377" s="361" t="s">
        <v>154</v>
      </c>
      <c r="AA377" s="361" t="s">
        <v>154</v>
      </c>
      <c r="AB377" s="361" t="s">
        <v>154</v>
      </c>
      <c r="AC377" s="361" t="s">
        <v>154</v>
      </c>
      <c r="AD377" s="361" t="s">
        <v>154</v>
      </c>
      <c r="AE377" s="209"/>
      <c r="AF377" s="220">
        <v>0</v>
      </c>
      <c r="AG377" s="219" t="s">
        <v>308</v>
      </c>
      <c r="AH377" s="219"/>
      <c r="AI377" s="219"/>
      <c r="AJ377" s="219"/>
      <c r="AK377" s="219"/>
      <c r="AL377" s="219"/>
      <c r="AM377" s="219"/>
      <c r="AN377" s="219"/>
      <c r="AO377" s="219"/>
      <c r="AP377" s="164"/>
      <c r="AQ377" s="164"/>
      <c r="AR377" s="164"/>
      <c r="AS377" s="164"/>
      <c r="AT377" s="164"/>
      <c r="AU377" s="164"/>
      <c r="AV377" s="164"/>
      <c r="AW377" s="164"/>
      <c r="AX377" s="164"/>
      <c r="AY377" s="164"/>
      <c r="AZ377" s="164"/>
      <c r="BA377" s="164"/>
      <c r="BB377" s="164"/>
      <c r="BC377" s="164"/>
      <c r="BD377" s="164"/>
      <c r="BE377" s="164"/>
      <c r="BF377" s="164"/>
      <c r="BG377" s="164"/>
      <c r="BH377" s="164"/>
      <c r="BI377" s="164"/>
      <c r="BJ377" s="164"/>
      <c r="BK377" s="164"/>
      <c r="BL377" s="164"/>
      <c r="BM377" s="164"/>
      <c r="BN377" s="165"/>
      <c r="BO377" s="251"/>
      <c r="BP377" s="364" t="s">
        <v>1298</v>
      </c>
      <c r="BQ377" s="364" t="s">
        <v>1298</v>
      </c>
      <c r="BR377" s="364" t="s">
        <v>1298</v>
      </c>
      <c r="BS377" s="250"/>
      <c r="BT377" s="364" t="s">
        <v>1298</v>
      </c>
      <c r="BU377" s="364" t="s">
        <v>1298</v>
      </c>
      <c r="BV377" s="364" t="s">
        <v>1298</v>
      </c>
      <c r="BW377" s="364" t="s">
        <v>1298</v>
      </c>
      <c r="BX377" s="364" t="s">
        <v>1298</v>
      </c>
      <c r="BY377" s="250"/>
    </row>
    <row r="378" spans="3:78" ht="14.25">
      <c r="C378" s="306"/>
      <c r="D378" s="367"/>
      <c r="E378" s="370"/>
      <c r="F378" s="406"/>
      <c r="G378" s="376"/>
      <c r="H378" s="379"/>
      <c r="I378" s="382"/>
      <c r="J378" s="382"/>
      <c r="K378" s="385"/>
      <c r="L378" s="388"/>
      <c r="M378" s="391"/>
      <c r="N378" s="394"/>
      <c r="O378" s="397"/>
      <c r="P378" s="400"/>
      <c r="Q378" s="403"/>
      <c r="R378" s="362"/>
      <c r="S378" s="362"/>
      <c r="T378" s="362"/>
      <c r="U378" s="362"/>
      <c r="V378" s="362"/>
      <c r="W378" s="362"/>
      <c r="X378" s="362"/>
      <c r="Y378" s="362"/>
      <c r="Z378" s="362"/>
      <c r="AA378" s="362"/>
      <c r="AB378" s="362"/>
      <c r="AC378" s="362"/>
      <c r="AD378" s="362"/>
      <c r="AE378" s="193"/>
      <c r="AF378" s="217" t="s">
        <v>268</v>
      </c>
      <c r="AG378" s="158" t="s">
        <v>221</v>
      </c>
      <c r="AH378" s="300" t="s">
        <v>19</v>
      </c>
      <c r="AI378" s="301" t="s">
        <v>154</v>
      </c>
      <c r="AJ378" s="221"/>
      <c r="AK378" s="221"/>
      <c r="AL378" s="221"/>
      <c r="AM378" s="221"/>
      <c r="AN378" s="221"/>
      <c r="AO378" s="221"/>
      <c r="AP378" s="302" t="s">
        <v>19</v>
      </c>
      <c r="AQ378" s="195">
        <f>SUM(AT378,AW378,AZ378,BC378,BF378,BI378,BL378)</f>
        <v>3866.0816089338332</v>
      </c>
      <c r="AR378" s="197">
        <f>SUM(AT378,AX378,BA378,BD378,BG378,BJ378,BM378)</f>
        <v>0</v>
      </c>
      <c r="AS378" s="195">
        <f>AQ378-AR378</f>
        <v>3866.0816089338332</v>
      </c>
      <c r="AT378" s="312"/>
      <c r="AU378" s="312"/>
      <c r="AV378" s="244"/>
      <c r="AW378" s="159">
        <v>3866.0816089338332</v>
      </c>
      <c r="AX378" s="312"/>
      <c r="AY378" s="194">
        <f>AW378-AX378</f>
        <v>3866.0816089338332</v>
      </c>
      <c r="AZ378" s="160"/>
      <c r="BA378" s="312"/>
      <c r="BB378" s="194">
        <f>AZ378-BA378</f>
        <v>0</v>
      </c>
      <c r="BC378" s="159"/>
      <c r="BD378" s="312"/>
      <c r="BE378" s="194">
        <f>BC378-BD378</f>
        <v>0</v>
      </c>
      <c r="BF378" s="159"/>
      <c r="BG378" s="244"/>
      <c r="BH378" s="194">
        <f>BF378-BG378</f>
        <v>0</v>
      </c>
      <c r="BI378" s="159"/>
      <c r="BJ378" s="244"/>
      <c r="BK378" s="194">
        <f>BI378-BJ378</f>
        <v>0</v>
      </c>
      <c r="BL378" s="312"/>
      <c r="BM378" s="312"/>
      <c r="BN378" s="195">
        <f>BL378-BM378</f>
        <v>0</v>
      </c>
      <c r="BO378" s="251">
        <v>0</v>
      </c>
      <c r="BP378" s="364"/>
      <c r="BQ378" s="364"/>
      <c r="BR378" s="364"/>
      <c r="BS378" s="249" t="str">
        <f>AG378 &amp; BO378</f>
        <v>Амортизационные отчисления0</v>
      </c>
      <c r="BT378" s="364"/>
      <c r="BU378" s="364"/>
      <c r="BV378" s="364"/>
      <c r="BW378" s="364"/>
      <c r="BX378" s="364"/>
      <c r="BY378" s="249" t="str">
        <f>AG378&amp;AH378</f>
        <v>Амортизационные отчислениянет</v>
      </c>
      <c r="BZ378" s="250"/>
    </row>
    <row r="379" spans="3:78" ht="14.25">
      <c r="C379" s="97"/>
      <c r="D379" s="367"/>
      <c r="E379" s="370"/>
      <c r="F379" s="406"/>
      <c r="G379" s="376"/>
      <c r="H379" s="379"/>
      <c r="I379" s="382"/>
      <c r="J379" s="382"/>
      <c r="K379" s="385"/>
      <c r="L379" s="388"/>
      <c r="M379" s="391"/>
      <c r="N379" s="394"/>
      <c r="O379" s="397"/>
      <c r="P379" s="400"/>
      <c r="Q379" s="403"/>
      <c r="R379" s="362"/>
      <c r="S379" s="362"/>
      <c r="T379" s="362"/>
      <c r="U379" s="362"/>
      <c r="V379" s="362"/>
      <c r="W379" s="362"/>
      <c r="X379" s="362"/>
      <c r="Y379" s="362"/>
      <c r="Z379" s="362"/>
      <c r="AA379" s="362"/>
      <c r="AB379" s="362"/>
      <c r="AC379" s="362"/>
      <c r="AD379" s="362"/>
      <c r="AE379" s="322" t="s">
        <v>1240</v>
      </c>
      <c r="AF379" s="217" t="s">
        <v>118</v>
      </c>
      <c r="AG379" s="196" t="s">
        <v>223</v>
      </c>
      <c r="AH379" s="302" t="s">
        <v>19</v>
      </c>
      <c r="AI379" s="301" t="s">
        <v>154</v>
      </c>
      <c r="AJ379" s="221"/>
      <c r="AK379" s="221"/>
      <c r="AL379" s="221"/>
      <c r="AM379" s="221"/>
      <c r="AN379" s="221"/>
      <c r="AO379" s="221"/>
      <c r="AP379" s="302" t="s">
        <v>19</v>
      </c>
      <c r="AQ379" s="195">
        <f>SUM(AT379,AW379,AZ379,BC379,BF379,BI379,BL379)</f>
        <v>773.21632178676646</v>
      </c>
      <c r="AR379" s="197">
        <f>SUM(AT379,AX379,BA379,BD379,BG379,BJ379,BM379)</f>
        <v>0</v>
      </c>
      <c r="AS379" s="195">
        <f>AQ379-AR379</f>
        <v>773.21632178676646</v>
      </c>
      <c r="AT379" s="315"/>
      <c r="AU379" s="315"/>
      <c r="AV379" s="241"/>
      <c r="AW379" s="198">
        <f>4639.2979307206-AW378</f>
        <v>773.21632178676646</v>
      </c>
      <c r="AX379" s="313"/>
      <c r="AY379" s="199">
        <f>AW379-AX379</f>
        <v>773.21632178676646</v>
      </c>
      <c r="AZ379" s="173"/>
      <c r="BA379" s="313"/>
      <c r="BB379" s="199">
        <f>AZ379-BA379</f>
        <v>0</v>
      </c>
      <c r="BC379" s="198"/>
      <c r="BD379" s="313"/>
      <c r="BE379" s="199">
        <f>BC379-BD379</f>
        <v>0</v>
      </c>
      <c r="BF379" s="198"/>
      <c r="BG379" s="241"/>
      <c r="BH379" s="199">
        <f>BF379-BG379</f>
        <v>0</v>
      </c>
      <c r="BI379" s="198"/>
      <c r="BJ379" s="241"/>
      <c r="BK379" s="199">
        <f>BI379-BJ379</f>
        <v>0</v>
      </c>
      <c r="BL379" s="313"/>
      <c r="BM379" s="313"/>
      <c r="BN379" s="195">
        <f>BL379-BM379</f>
        <v>0</v>
      </c>
      <c r="BO379" s="251">
        <v>0</v>
      </c>
      <c r="BP379" s="364"/>
      <c r="BQ379" s="364"/>
      <c r="BR379" s="364"/>
      <c r="BS379" s="249" t="str">
        <f>AG379 &amp; BO379</f>
        <v>Прочие собственные средства0</v>
      </c>
      <c r="BT379" s="364"/>
      <c r="BU379" s="364"/>
      <c r="BV379" s="364"/>
      <c r="BW379" s="364"/>
      <c r="BX379" s="364"/>
      <c r="BY379" s="249" t="str">
        <f>AG379&amp;AH379</f>
        <v>Прочие собственные средстванет</v>
      </c>
      <c r="BZ379" s="250"/>
    </row>
    <row r="380" spans="3:78" ht="15" customHeight="1">
      <c r="C380" s="306"/>
      <c r="D380" s="367"/>
      <c r="E380" s="370"/>
      <c r="F380" s="406"/>
      <c r="G380" s="376"/>
      <c r="H380" s="379"/>
      <c r="I380" s="382"/>
      <c r="J380" s="382"/>
      <c r="K380" s="385"/>
      <c r="L380" s="388"/>
      <c r="M380" s="391"/>
      <c r="N380" s="395"/>
      <c r="O380" s="398"/>
      <c r="P380" s="401"/>
      <c r="Q380" s="404"/>
      <c r="R380" s="363"/>
      <c r="S380" s="363"/>
      <c r="T380" s="363"/>
      <c r="U380" s="363"/>
      <c r="V380" s="363"/>
      <c r="W380" s="363"/>
      <c r="X380" s="363"/>
      <c r="Y380" s="363"/>
      <c r="Z380" s="363"/>
      <c r="AA380" s="363"/>
      <c r="AB380" s="363"/>
      <c r="AC380" s="363"/>
      <c r="AD380" s="363"/>
      <c r="AE380" s="279" t="s">
        <v>379</v>
      </c>
      <c r="AF380" s="203"/>
      <c r="AG380" s="223" t="s">
        <v>24</v>
      </c>
      <c r="AH380" s="223"/>
      <c r="AI380" s="223"/>
      <c r="AJ380" s="223"/>
      <c r="AK380" s="223"/>
      <c r="AL380" s="223"/>
      <c r="AM380" s="223"/>
      <c r="AN380" s="223"/>
      <c r="AO380" s="223"/>
      <c r="AP380" s="168"/>
      <c r="AQ380" s="169"/>
      <c r="AR380" s="169"/>
      <c r="AS380" s="169"/>
      <c r="AT380" s="169"/>
      <c r="AU380" s="169"/>
      <c r="AV380" s="169"/>
      <c r="AW380" s="169"/>
      <c r="AX380" s="169"/>
      <c r="AY380" s="169"/>
      <c r="AZ380" s="169"/>
      <c r="BA380" s="169"/>
      <c r="BB380" s="169"/>
      <c r="BC380" s="169"/>
      <c r="BD380" s="169"/>
      <c r="BE380" s="169"/>
      <c r="BF380" s="169"/>
      <c r="BG380" s="169"/>
      <c r="BH380" s="169"/>
      <c r="BI380" s="169"/>
      <c r="BJ380" s="169"/>
      <c r="BK380" s="169"/>
      <c r="BL380" s="169"/>
      <c r="BM380" s="169"/>
      <c r="BN380" s="170"/>
      <c r="BO380" s="251"/>
      <c r="BP380" s="364"/>
      <c r="BQ380" s="364"/>
      <c r="BR380" s="364"/>
      <c r="BS380" s="250"/>
      <c r="BT380" s="364"/>
      <c r="BU380" s="364"/>
      <c r="BV380" s="364"/>
      <c r="BW380" s="364"/>
      <c r="BX380" s="364"/>
      <c r="BY380" s="250"/>
    </row>
    <row r="381" spans="3:78" ht="15" customHeight="1" thickBot="1">
      <c r="C381" s="307"/>
      <c r="D381" s="368"/>
      <c r="E381" s="371"/>
      <c r="F381" s="407"/>
      <c r="G381" s="377"/>
      <c r="H381" s="380"/>
      <c r="I381" s="383"/>
      <c r="J381" s="383"/>
      <c r="K381" s="386"/>
      <c r="L381" s="389"/>
      <c r="M381" s="392"/>
      <c r="N381" s="280" t="s">
        <v>380</v>
      </c>
      <c r="O381" s="212"/>
      <c r="P381" s="365" t="s">
        <v>154</v>
      </c>
      <c r="Q381" s="365"/>
      <c r="R381" s="171"/>
      <c r="S381" s="171"/>
      <c r="T381" s="166"/>
      <c r="U381" s="166"/>
      <c r="V381" s="166"/>
      <c r="W381" s="166"/>
      <c r="X381" s="166"/>
      <c r="Y381" s="166"/>
      <c r="Z381" s="166"/>
      <c r="AA381" s="166"/>
      <c r="AB381" s="166"/>
      <c r="AC381" s="166"/>
      <c r="AD381" s="166"/>
      <c r="AE381" s="166"/>
      <c r="AF381" s="166"/>
      <c r="AG381" s="166"/>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7"/>
      <c r="BO381" s="251"/>
      <c r="BP381" s="250"/>
      <c r="BQ381" s="250"/>
      <c r="BR381" s="250"/>
      <c r="BS381" s="250"/>
      <c r="BT381" s="250"/>
      <c r="BU381" s="250"/>
      <c r="BY381" s="250"/>
    </row>
    <row r="382" spans="3:78" ht="11.25" customHeight="1">
      <c r="C382" s="97" t="s">
        <v>1240</v>
      </c>
      <c r="D382" s="366" t="s">
        <v>1338</v>
      </c>
      <c r="E382" s="369" t="s">
        <v>199</v>
      </c>
      <c r="F382" s="405" t="s">
        <v>209</v>
      </c>
      <c r="G382" s="375" t="s">
        <v>1353</v>
      </c>
      <c r="H382" s="378" t="s">
        <v>715</v>
      </c>
      <c r="I382" s="381" t="s">
        <v>715</v>
      </c>
      <c r="J382" s="381" t="s">
        <v>716</v>
      </c>
      <c r="K382" s="384">
        <v>1</v>
      </c>
      <c r="L382" s="387" t="s">
        <v>3</v>
      </c>
      <c r="M382" s="390">
        <v>0</v>
      </c>
      <c r="N382" s="163"/>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c r="AX382" s="161"/>
      <c r="AY382" s="161"/>
      <c r="AZ382" s="161"/>
      <c r="BA382" s="161"/>
      <c r="BB382" s="161"/>
      <c r="BC382" s="161"/>
      <c r="BD382" s="161"/>
      <c r="BE382" s="161"/>
      <c r="BF382" s="161"/>
      <c r="BG382" s="161"/>
      <c r="BH382" s="161"/>
      <c r="BI382" s="161"/>
      <c r="BJ382" s="161"/>
      <c r="BK382" s="161"/>
      <c r="BL382" s="161"/>
      <c r="BM382" s="161"/>
      <c r="BN382" s="162"/>
      <c r="BO382" s="251"/>
      <c r="BP382" s="250"/>
      <c r="BQ382" s="250"/>
      <c r="BR382" s="250"/>
      <c r="BS382" s="250"/>
      <c r="BT382" s="250"/>
      <c r="BU382" s="250"/>
      <c r="BY382" s="250"/>
    </row>
    <row r="383" spans="3:78" ht="11.25" customHeight="1">
      <c r="C383" s="306"/>
      <c r="D383" s="367"/>
      <c r="E383" s="370"/>
      <c r="F383" s="406"/>
      <c r="G383" s="376"/>
      <c r="H383" s="379"/>
      <c r="I383" s="382"/>
      <c r="J383" s="382"/>
      <c r="K383" s="385"/>
      <c r="L383" s="388"/>
      <c r="M383" s="391"/>
      <c r="N383" s="393"/>
      <c r="O383" s="396">
        <v>1</v>
      </c>
      <c r="P383" s="399" t="s">
        <v>1297</v>
      </c>
      <c r="Q383" s="402"/>
      <c r="R383" s="361" t="s">
        <v>154</v>
      </c>
      <c r="S383" s="361" t="s">
        <v>154</v>
      </c>
      <c r="T383" s="361" t="s">
        <v>154</v>
      </c>
      <c r="U383" s="361" t="s">
        <v>154</v>
      </c>
      <c r="V383" s="361" t="s">
        <v>154</v>
      </c>
      <c r="W383" s="361" t="s">
        <v>154</v>
      </c>
      <c r="X383" s="361" t="s">
        <v>154</v>
      </c>
      <c r="Y383" s="361" t="s">
        <v>154</v>
      </c>
      <c r="Z383" s="361" t="s">
        <v>154</v>
      </c>
      <c r="AA383" s="361" t="s">
        <v>154</v>
      </c>
      <c r="AB383" s="361" t="s">
        <v>154</v>
      </c>
      <c r="AC383" s="361" t="s">
        <v>154</v>
      </c>
      <c r="AD383" s="361" t="s">
        <v>154</v>
      </c>
      <c r="AE383" s="209"/>
      <c r="AF383" s="220">
        <v>0</v>
      </c>
      <c r="AG383" s="219" t="s">
        <v>308</v>
      </c>
      <c r="AH383" s="219"/>
      <c r="AI383" s="219"/>
      <c r="AJ383" s="219"/>
      <c r="AK383" s="219"/>
      <c r="AL383" s="219"/>
      <c r="AM383" s="219"/>
      <c r="AN383" s="219"/>
      <c r="AO383" s="219"/>
      <c r="AP383" s="164"/>
      <c r="AQ383" s="164"/>
      <c r="AR383" s="164"/>
      <c r="AS383" s="164"/>
      <c r="AT383" s="164"/>
      <c r="AU383" s="164"/>
      <c r="AV383" s="164"/>
      <c r="AW383" s="164"/>
      <c r="AX383" s="164"/>
      <c r="AY383" s="164"/>
      <c r="AZ383" s="164"/>
      <c r="BA383" s="164"/>
      <c r="BB383" s="164"/>
      <c r="BC383" s="164"/>
      <c r="BD383" s="164"/>
      <c r="BE383" s="164"/>
      <c r="BF383" s="164"/>
      <c r="BG383" s="164"/>
      <c r="BH383" s="164"/>
      <c r="BI383" s="164"/>
      <c r="BJ383" s="164"/>
      <c r="BK383" s="164"/>
      <c r="BL383" s="164"/>
      <c r="BM383" s="164"/>
      <c r="BN383" s="165"/>
      <c r="BO383" s="251"/>
      <c r="BP383" s="364" t="s">
        <v>1298</v>
      </c>
      <c r="BQ383" s="364" t="s">
        <v>1298</v>
      </c>
      <c r="BR383" s="364" t="s">
        <v>1298</v>
      </c>
      <c r="BS383" s="250"/>
      <c r="BT383" s="364" t="s">
        <v>1298</v>
      </c>
      <c r="BU383" s="364" t="s">
        <v>1298</v>
      </c>
      <c r="BV383" s="364" t="s">
        <v>1298</v>
      </c>
      <c r="BW383" s="364" t="s">
        <v>1298</v>
      </c>
      <c r="BX383" s="364" t="s">
        <v>1298</v>
      </c>
      <c r="BY383" s="250"/>
    </row>
    <row r="384" spans="3:78" ht="14.25">
      <c r="C384" s="306"/>
      <c r="D384" s="367"/>
      <c r="E384" s="370"/>
      <c r="F384" s="406"/>
      <c r="G384" s="376"/>
      <c r="H384" s="379"/>
      <c r="I384" s="382"/>
      <c r="J384" s="382"/>
      <c r="K384" s="385"/>
      <c r="L384" s="388"/>
      <c r="M384" s="391"/>
      <c r="N384" s="394"/>
      <c r="O384" s="397"/>
      <c r="P384" s="400"/>
      <c r="Q384" s="403"/>
      <c r="R384" s="362"/>
      <c r="S384" s="362"/>
      <c r="T384" s="362"/>
      <c r="U384" s="362"/>
      <c r="V384" s="362"/>
      <c r="W384" s="362"/>
      <c r="X384" s="362"/>
      <c r="Y384" s="362"/>
      <c r="Z384" s="362"/>
      <c r="AA384" s="362"/>
      <c r="AB384" s="362"/>
      <c r="AC384" s="362"/>
      <c r="AD384" s="362"/>
      <c r="AE384" s="193"/>
      <c r="AF384" s="217" t="s">
        <v>268</v>
      </c>
      <c r="AG384" s="158" t="s">
        <v>221</v>
      </c>
      <c r="AH384" s="300" t="s">
        <v>19</v>
      </c>
      <c r="AI384" s="301" t="s">
        <v>154</v>
      </c>
      <c r="AJ384" s="221"/>
      <c r="AK384" s="221"/>
      <c r="AL384" s="221"/>
      <c r="AM384" s="221"/>
      <c r="AN384" s="221"/>
      <c r="AO384" s="221"/>
      <c r="AP384" s="302" t="s">
        <v>19</v>
      </c>
      <c r="AQ384" s="195">
        <f>SUM(AT384,AW384,AZ384,BC384,BF384,BI384,BL384)</f>
        <v>30676.673737694833</v>
      </c>
      <c r="AR384" s="197">
        <f>SUM(AT384,AX384,BA384,BD384,BG384,BJ384,BM384)</f>
        <v>0</v>
      </c>
      <c r="AS384" s="195">
        <f>AQ384-AR384</f>
        <v>30676.673737694833</v>
      </c>
      <c r="AT384" s="312"/>
      <c r="AU384" s="312"/>
      <c r="AV384" s="244"/>
      <c r="AW384" s="159">
        <v>30676.673737694833</v>
      </c>
      <c r="AX384" s="312"/>
      <c r="AY384" s="194">
        <f>AW384-AX384</f>
        <v>30676.673737694833</v>
      </c>
      <c r="AZ384" s="160"/>
      <c r="BA384" s="312"/>
      <c r="BB384" s="194">
        <f>AZ384-BA384</f>
        <v>0</v>
      </c>
      <c r="BC384" s="159"/>
      <c r="BD384" s="312"/>
      <c r="BE384" s="194">
        <f>BC384-BD384</f>
        <v>0</v>
      </c>
      <c r="BF384" s="159"/>
      <c r="BG384" s="244"/>
      <c r="BH384" s="194">
        <f>BF384-BG384</f>
        <v>0</v>
      </c>
      <c r="BI384" s="159"/>
      <c r="BJ384" s="244"/>
      <c r="BK384" s="194">
        <f>BI384-BJ384</f>
        <v>0</v>
      </c>
      <c r="BL384" s="312"/>
      <c r="BM384" s="312"/>
      <c r="BN384" s="195">
        <f>BL384-BM384</f>
        <v>0</v>
      </c>
      <c r="BO384" s="251">
        <v>0</v>
      </c>
      <c r="BP384" s="364"/>
      <c r="BQ384" s="364"/>
      <c r="BR384" s="364"/>
      <c r="BS384" s="249" t="str">
        <f>AG384 &amp; BO384</f>
        <v>Амортизационные отчисления0</v>
      </c>
      <c r="BT384" s="364"/>
      <c r="BU384" s="364"/>
      <c r="BV384" s="364"/>
      <c r="BW384" s="364"/>
      <c r="BX384" s="364"/>
      <c r="BY384" s="249" t="str">
        <f>AG384&amp;AH384</f>
        <v>Амортизационные отчислениянет</v>
      </c>
      <c r="BZ384" s="250"/>
    </row>
    <row r="385" spans="3:78" ht="14.25">
      <c r="C385" s="97"/>
      <c r="D385" s="367"/>
      <c r="E385" s="370"/>
      <c r="F385" s="406"/>
      <c r="G385" s="376"/>
      <c r="H385" s="379"/>
      <c r="I385" s="382"/>
      <c r="J385" s="382"/>
      <c r="K385" s="385"/>
      <c r="L385" s="388"/>
      <c r="M385" s="391"/>
      <c r="N385" s="394"/>
      <c r="O385" s="397"/>
      <c r="P385" s="400"/>
      <c r="Q385" s="403"/>
      <c r="R385" s="362"/>
      <c r="S385" s="362"/>
      <c r="T385" s="362"/>
      <c r="U385" s="362"/>
      <c r="V385" s="362"/>
      <c r="W385" s="362"/>
      <c r="X385" s="362"/>
      <c r="Y385" s="362"/>
      <c r="Z385" s="362"/>
      <c r="AA385" s="362"/>
      <c r="AB385" s="362"/>
      <c r="AC385" s="362"/>
      <c r="AD385" s="362"/>
      <c r="AE385" s="322" t="s">
        <v>1240</v>
      </c>
      <c r="AF385" s="217" t="s">
        <v>118</v>
      </c>
      <c r="AG385" s="196" t="s">
        <v>223</v>
      </c>
      <c r="AH385" s="302" t="s">
        <v>19</v>
      </c>
      <c r="AI385" s="301" t="s">
        <v>154</v>
      </c>
      <c r="AJ385" s="221"/>
      <c r="AK385" s="221"/>
      <c r="AL385" s="221"/>
      <c r="AM385" s="221"/>
      <c r="AN385" s="221"/>
      <c r="AO385" s="221"/>
      <c r="AP385" s="302" t="s">
        <v>19</v>
      </c>
      <c r="AQ385" s="195">
        <f>SUM(AT385,AW385,AZ385,BC385,BF385,BI385,BL385)</f>
        <v>6135.3347475389637</v>
      </c>
      <c r="AR385" s="197">
        <f>SUM(AT385,AX385,BA385,BD385,BG385,BJ385,BM385)</f>
        <v>0</v>
      </c>
      <c r="AS385" s="195">
        <f>AQ385-AR385</f>
        <v>6135.3347475389637</v>
      </c>
      <c r="AT385" s="315"/>
      <c r="AU385" s="315"/>
      <c r="AV385" s="241"/>
      <c r="AW385" s="198">
        <f>36812.0084852338-AW384</f>
        <v>6135.3347475389637</v>
      </c>
      <c r="AX385" s="313"/>
      <c r="AY385" s="199">
        <f>AW385-AX385</f>
        <v>6135.3347475389637</v>
      </c>
      <c r="AZ385" s="173"/>
      <c r="BA385" s="313"/>
      <c r="BB385" s="199">
        <f>AZ385-BA385</f>
        <v>0</v>
      </c>
      <c r="BC385" s="198"/>
      <c r="BD385" s="313"/>
      <c r="BE385" s="199">
        <f>BC385-BD385</f>
        <v>0</v>
      </c>
      <c r="BF385" s="198"/>
      <c r="BG385" s="241"/>
      <c r="BH385" s="199">
        <f>BF385-BG385</f>
        <v>0</v>
      </c>
      <c r="BI385" s="198"/>
      <c r="BJ385" s="241"/>
      <c r="BK385" s="199">
        <f>BI385-BJ385</f>
        <v>0</v>
      </c>
      <c r="BL385" s="313"/>
      <c r="BM385" s="313"/>
      <c r="BN385" s="195">
        <f>BL385-BM385</f>
        <v>0</v>
      </c>
      <c r="BO385" s="251">
        <v>0</v>
      </c>
      <c r="BP385" s="364"/>
      <c r="BQ385" s="364"/>
      <c r="BR385" s="364"/>
      <c r="BS385" s="249" t="str">
        <f>AG385 &amp; BO385</f>
        <v>Прочие собственные средства0</v>
      </c>
      <c r="BT385" s="364"/>
      <c r="BU385" s="364"/>
      <c r="BV385" s="364"/>
      <c r="BW385" s="364"/>
      <c r="BX385" s="364"/>
      <c r="BY385" s="249" t="str">
        <f>AG385&amp;AH385</f>
        <v>Прочие собственные средстванет</v>
      </c>
      <c r="BZ385" s="250"/>
    </row>
    <row r="386" spans="3:78" ht="15" customHeight="1">
      <c r="C386" s="306"/>
      <c r="D386" s="367"/>
      <c r="E386" s="370"/>
      <c r="F386" s="406"/>
      <c r="G386" s="376"/>
      <c r="H386" s="379"/>
      <c r="I386" s="382"/>
      <c r="J386" s="382"/>
      <c r="K386" s="385"/>
      <c r="L386" s="388"/>
      <c r="M386" s="391"/>
      <c r="N386" s="395"/>
      <c r="O386" s="398"/>
      <c r="P386" s="401"/>
      <c r="Q386" s="404"/>
      <c r="R386" s="363"/>
      <c r="S386" s="363"/>
      <c r="T386" s="363"/>
      <c r="U386" s="363"/>
      <c r="V386" s="363"/>
      <c r="W386" s="363"/>
      <c r="X386" s="363"/>
      <c r="Y386" s="363"/>
      <c r="Z386" s="363"/>
      <c r="AA386" s="363"/>
      <c r="AB386" s="363"/>
      <c r="AC386" s="363"/>
      <c r="AD386" s="363"/>
      <c r="AE386" s="279" t="s">
        <v>379</v>
      </c>
      <c r="AF386" s="203"/>
      <c r="AG386" s="223" t="s">
        <v>24</v>
      </c>
      <c r="AH386" s="223"/>
      <c r="AI386" s="223"/>
      <c r="AJ386" s="223"/>
      <c r="AK386" s="223"/>
      <c r="AL386" s="223"/>
      <c r="AM386" s="223"/>
      <c r="AN386" s="223"/>
      <c r="AO386" s="223"/>
      <c r="AP386" s="168"/>
      <c r="AQ386" s="169"/>
      <c r="AR386" s="169"/>
      <c r="AS386" s="169"/>
      <c r="AT386" s="169"/>
      <c r="AU386" s="169"/>
      <c r="AV386" s="169"/>
      <c r="AW386" s="169"/>
      <c r="AX386" s="169"/>
      <c r="AY386" s="169"/>
      <c r="AZ386" s="169"/>
      <c r="BA386" s="169"/>
      <c r="BB386" s="169"/>
      <c r="BC386" s="169"/>
      <c r="BD386" s="169"/>
      <c r="BE386" s="169"/>
      <c r="BF386" s="169"/>
      <c r="BG386" s="169"/>
      <c r="BH386" s="169"/>
      <c r="BI386" s="169"/>
      <c r="BJ386" s="169"/>
      <c r="BK386" s="169"/>
      <c r="BL386" s="169"/>
      <c r="BM386" s="169"/>
      <c r="BN386" s="170"/>
      <c r="BO386" s="251"/>
      <c r="BP386" s="364"/>
      <c r="BQ386" s="364"/>
      <c r="BR386" s="364"/>
      <c r="BS386" s="250"/>
      <c r="BT386" s="364"/>
      <c r="BU386" s="364"/>
      <c r="BV386" s="364"/>
      <c r="BW386" s="364"/>
      <c r="BX386" s="364"/>
      <c r="BY386" s="250"/>
    </row>
    <row r="387" spans="3:78" ht="15" customHeight="1" thickBot="1">
      <c r="C387" s="307"/>
      <c r="D387" s="368"/>
      <c r="E387" s="371"/>
      <c r="F387" s="407"/>
      <c r="G387" s="377"/>
      <c r="H387" s="380"/>
      <c r="I387" s="383"/>
      <c r="J387" s="383"/>
      <c r="K387" s="386"/>
      <c r="L387" s="389"/>
      <c r="M387" s="392"/>
      <c r="N387" s="280" t="s">
        <v>380</v>
      </c>
      <c r="O387" s="212"/>
      <c r="P387" s="365" t="s">
        <v>154</v>
      </c>
      <c r="Q387" s="365"/>
      <c r="R387" s="171"/>
      <c r="S387" s="171"/>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7"/>
      <c r="BO387" s="251"/>
      <c r="BP387" s="250"/>
      <c r="BQ387" s="250"/>
      <c r="BR387" s="250"/>
      <c r="BS387" s="250"/>
      <c r="BT387" s="250"/>
      <c r="BU387" s="250"/>
      <c r="BY387" s="250"/>
    </row>
    <row r="388" spans="3:78" ht="11.25" customHeight="1">
      <c r="C388" s="97" t="s">
        <v>1240</v>
      </c>
      <c r="D388" s="366" t="s">
        <v>1339</v>
      </c>
      <c r="E388" s="369" t="s">
        <v>199</v>
      </c>
      <c r="F388" s="405" t="s">
        <v>209</v>
      </c>
      <c r="G388" s="375" t="s">
        <v>1354</v>
      </c>
      <c r="H388" s="378" t="s">
        <v>715</v>
      </c>
      <c r="I388" s="381" t="s">
        <v>715</v>
      </c>
      <c r="J388" s="381" t="s">
        <v>716</v>
      </c>
      <c r="K388" s="384">
        <v>1</v>
      </c>
      <c r="L388" s="387" t="s">
        <v>4</v>
      </c>
      <c r="M388" s="390">
        <v>0</v>
      </c>
      <c r="N388" s="163"/>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c r="AX388" s="161"/>
      <c r="AY388" s="161"/>
      <c r="AZ388" s="161"/>
      <c r="BA388" s="161"/>
      <c r="BB388" s="161"/>
      <c r="BC388" s="161"/>
      <c r="BD388" s="161"/>
      <c r="BE388" s="161"/>
      <c r="BF388" s="161"/>
      <c r="BG388" s="161"/>
      <c r="BH388" s="161"/>
      <c r="BI388" s="161"/>
      <c r="BJ388" s="161"/>
      <c r="BK388" s="161"/>
      <c r="BL388" s="161"/>
      <c r="BM388" s="161"/>
      <c r="BN388" s="162"/>
      <c r="BO388" s="251"/>
      <c r="BP388" s="250"/>
      <c r="BQ388" s="250"/>
      <c r="BR388" s="250"/>
      <c r="BS388" s="250"/>
      <c r="BT388" s="250"/>
      <c r="BU388" s="250"/>
      <c r="BY388" s="250"/>
    </row>
    <row r="389" spans="3:78" ht="11.25" customHeight="1">
      <c r="C389" s="306"/>
      <c r="D389" s="367"/>
      <c r="E389" s="370"/>
      <c r="F389" s="406"/>
      <c r="G389" s="376"/>
      <c r="H389" s="379"/>
      <c r="I389" s="382"/>
      <c r="J389" s="382"/>
      <c r="K389" s="385"/>
      <c r="L389" s="388"/>
      <c r="M389" s="391"/>
      <c r="N389" s="393"/>
      <c r="O389" s="396">
        <v>1</v>
      </c>
      <c r="P389" s="399" t="s">
        <v>1297</v>
      </c>
      <c r="Q389" s="402"/>
      <c r="R389" s="361" t="s">
        <v>154</v>
      </c>
      <c r="S389" s="361" t="s">
        <v>154</v>
      </c>
      <c r="T389" s="361" t="s">
        <v>154</v>
      </c>
      <c r="U389" s="361" t="s">
        <v>154</v>
      </c>
      <c r="V389" s="361" t="s">
        <v>154</v>
      </c>
      <c r="W389" s="361" t="s">
        <v>154</v>
      </c>
      <c r="X389" s="361" t="s">
        <v>154</v>
      </c>
      <c r="Y389" s="361" t="s">
        <v>154</v>
      </c>
      <c r="Z389" s="361" t="s">
        <v>154</v>
      </c>
      <c r="AA389" s="361" t="s">
        <v>154</v>
      </c>
      <c r="AB389" s="361" t="s">
        <v>154</v>
      </c>
      <c r="AC389" s="361" t="s">
        <v>154</v>
      </c>
      <c r="AD389" s="361" t="s">
        <v>154</v>
      </c>
      <c r="AE389" s="209"/>
      <c r="AF389" s="220">
        <v>0</v>
      </c>
      <c r="AG389" s="219" t="s">
        <v>308</v>
      </c>
      <c r="AH389" s="219"/>
      <c r="AI389" s="219"/>
      <c r="AJ389" s="219"/>
      <c r="AK389" s="219"/>
      <c r="AL389" s="219"/>
      <c r="AM389" s="219"/>
      <c r="AN389" s="219"/>
      <c r="AO389" s="219"/>
      <c r="AP389" s="164"/>
      <c r="AQ389" s="164"/>
      <c r="AR389" s="164"/>
      <c r="AS389" s="164"/>
      <c r="AT389" s="164"/>
      <c r="AU389" s="164"/>
      <c r="AV389" s="164"/>
      <c r="AW389" s="164"/>
      <c r="AX389" s="164"/>
      <c r="AY389" s="164"/>
      <c r="AZ389" s="164"/>
      <c r="BA389" s="164"/>
      <c r="BB389" s="164"/>
      <c r="BC389" s="164"/>
      <c r="BD389" s="164"/>
      <c r="BE389" s="164"/>
      <c r="BF389" s="164"/>
      <c r="BG389" s="164"/>
      <c r="BH389" s="164"/>
      <c r="BI389" s="164"/>
      <c r="BJ389" s="164"/>
      <c r="BK389" s="164"/>
      <c r="BL389" s="164"/>
      <c r="BM389" s="164"/>
      <c r="BN389" s="165"/>
      <c r="BO389" s="251"/>
      <c r="BP389" s="364" t="s">
        <v>1298</v>
      </c>
      <c r="BQ389" s="364" t="s">
        <v>1298</v>
      </c>
      <c r="BR389" s="364" t="s">
        <v>1298</v>
      </c>
      <c r="BS389" s="250"/>
      <c r="BT389" s="364" t="s">
        <v>1298</v>
      </c>
      <c r="BU389" s="364" t="s">
        <v>1298</v>
      </c>
      <c r="BV389" s="364" t="s">
        <v>1298</v>
      </c>
      <c r="BW389" s="364" t="s">
        <v>1298</v>
      </c>
      <c r="BX389" s="364" t="s">
        <v>1298</v>
      </c>
      <c r="BY389" s="250"/>
    </row>
    <row r="390" spans="3:78" ht="14.25">
      <c r="C390" s="306"/>
      <c r="D390" s="367"/>
      <c r="E390" s="370"/>
      <c r="F390" s="406"/>
      <c r="G390" s="376"/>
      <c r="H390" s="379"/>
      <c r="I390" s="382"/>
      <c r="J390" s="382"/>
      <c r="K390" s="385"/>
      <c r="L390" s="388"/>
      <c r="M390" s="391"/>
      <c r="N390" s="394"/>
      <c r="O390" s="397"/>
      <c r="P390" s="400"/>
      <c r="Q390" s="403"/>
      <c r="R390" s="362"/>
      <c r="S390" s="362"/>
      <c r="T390" s="362"/>
      <c r="U390" s="362"/>
      <c r="V390" s="362"/>
      <c r="W390" s="362"/>
      <c r="X390" s="362"/>
      <c r="Y390" s="362"/>
      <c r="Z390" s="362"/>
      <c r="AA390" s="362"/>
      <c r="AB390" s="362"/>
      <c r="AC390" s="362"/>
      <c r="AD390" s="362"/>
      <c r="AE390" s="193"/>
      <c r="AF390" s="217" t="s">
        <v>268</v>
      </c>
      <c r="AG390" s="158" t="s">
        <v>221</v>
      </c>
      <c r="AH390" s="300" t="s">
        <v>19</v>
      </c>
      <c r="AI390" s="301" t="s">
        <v>154</v>
      </c>
      <c r="AJ390" s="221"/>
      <c r="AK390" s="221"/>
      <c r="AL390" s="221"/>
      <c r="AM390" s="221"/>
      <c r="AN390" s="221"/>
      <c r="AO390" s="221"/>
      <c r="AP390" s="302" t="s">
        <v>19</v>
      </c>
      <c r="AQ390" s="195">
        <f>SUM(AT390,AW390,AZ390,BC390,BF390,BI390,BL390)</f>
        <v>1221.1235236980001</v>
      </c>
      <c r="AR390" s="197">
        <f>SUM(AT390,AX390,BA390,BD390,BG390,BJ390,BM390)</f>
        <v>0</v>
      </c>
      <c r="AS390" s="195">
        <f>AQ390-AR390</f>
        <v>1221.1235236980001</v>
      </c>
      <c r="AT390" s="312"/>
      <c r="AU390" s="312"/>
      <c r="AV390" s="244"/>
      <c r="AW390" s="159"/>
      <c r="AX390" s="312"/>
      <c r="AY390" s="194">
        <f>AW390-AX390</f>
        <v>0</v>
      </c>
      <c r="AZ390" s="160">
        <v>1221.1235236980001</v>
      </c>
      <c r="BA390" s="312"/>
      <c r="BB390" s="194">
        <f>AZ390-BA390</f>
        <v>1221.1235236980001</v>
      </c>
      <c r="BC390" s="159"/>
      <c r="BD390" s="312"/>
      <c r="BE390" s="194">
        <f>BC390-BD390</f>
        <v>0</v>
      </c>
      <c r="BF390" s="159"/>
      <c r="BG390" s="244"/>
      <c r="BH390" s="194">
        <f>BF390-BG390</f>
        <v>0</v>
      </c>
      <c r="BI390" s="159"/>
      <c r="BJ390" s="244"/>
      <c r="BK390" s="194">
        <f>BI390-BJ390</f>
        <v>0</v>
      </c>
      <c r="BL390" s="312"/>
      <c r="BM390" s="312"/>
      <c r="BN390" s="195">
        <f>BL390-BM390</f>
        <v>0</v>
      </c>
      <c r="BO390" s="251">
        <v>0</v>
      </c>
      <c r="BP390" s="364"/>
      <c r="BQ390" s="364"/>
      <c r="BR390" s="364"/>
      <c r="BS390" s="249" t="str">
        <f>AG390 &amp; BO390</f>
        <v>Амортизационные отчисления0</v>
      </c>
      <c r="BT390" s="364"/>
      <c r="BU390" s="364"/>
      <c r="BV390" s="364"/>
      <c r="BW390" s="364"/>
      <c r="BX390" s="364"/>
      <c r="BY390" s="249" t="str">
        <f>AG390&amp;AH390</f>
        <v>Амортизационные отчислениянет</v>
      </c>
      <c r="BZ390" s="250"/>
    </row>
    <row r="391" spans="3:78" ht="14.25">
      <c r="C391" s="97"/>
      <c r="D391" s="367"/>
      <c r="E391" s="370"/>
      <c r="F391" s="406"/>
      <c r="G391" s="376"/>
      <c r="H391" s="379"/>
      <c r="I391" s="382"/>
      <c r="J391" s="382"/>
      <c r="K391" s="385"/>
      <c r="L391" s="388"/>
      <c r="M391" s="391"/>
      <c r="N391" s="394"/>
      <c r="O391" s="397"/>
      <c r="P391" s="400"/>
      <c r="Q391" s="403"/>
      <c r="R391" s="362"/>
      <c r="S391" s="362"/>
      <c r="T391" s="362"/>
      <c r="U391" s="362"/>
      <c r="V391" s="362"/>
      <c r="W391" s="362"/>
      <c r="X391" s="362"/>
      <c r="Y391" s="362"/>
      <c r="Z391" s="362"/>
      <c r="AA391" s="362"/>
      <c r="AB391" s="362"/>
      <c r="AC391" s="362"/>
      <c r="AD391" s="362"/>
      <c r="AE391" s="322" t="s">
        <v>1240</v>
      </c>
      <c r="AF391" s="217" t="s">
        <v>118</v>
      </c>
      <c r="AG391" s="196" t="s">
        <v>223</v>
      </c>
      <c r="AH391" s="302" t="s">
        <v>19</v>
      </c>
      <c r="AI391" s="301" t="s">
        <v>154</v>
      </c>
      <c r="AJ391" s="221"/>
      <c r="AK391" s="221"/>
      <c r="AL391" s="221"/>
      <c r="AM391" s="221"/>
      <c r="AN391" s="221"/>
      <c r="AO391" s="221"/>
      <c r="AP391" s="302" t="s">
        <v>19</v>
      </c>
      <c r="AQ391" s="195">
        <f>SUM(AT391,AW391,AZ391,BC391,BF391,BI391,BL391)</f>
        <v>244.22470473959993</v>
      </c>
      <c r="AR391" s="197">
        <f>SUM(AT391,AX391,BA391,BD391,BG391,BJ391,BM391)</f>
        <v>0</v>
      </c>
      <c r="AS391" s="195">
        <f>AQ391-AR391</f>
        <v>244.22470473959993</v>
      </c>
      <c r="AT391" s="315"/>
      <c r="AU391" s="315"/>
      <c r="AV391" s="241"/>
      <c r="AW391" s="198"/>
      <c r="AX391" s="313"/>
      <c r="AY391" s="199">
        <f>AW391-AX391</f>
        <v>0</v>
      </c>
      <c r="AZ391" s="173">
        <f>1465.3482284376-AZ390</f>
        <v>244.22470473959993</v>
      </c>
      <c r="BA391" s="313"/>
      <c r="BB391" s="199">
        <f>AZ391-BA391</f>
        <v>244.22470473959993</v>
      </c>
      <c r="BC391" s="198"/>
      <c r="BD391" s="313"/>
      <c r="BE391" s="199">
        <f>BC391-BD391</f>
        <v>0</v>
      </c>
      <c r="BF391" s="198"/>
      <c r="BG391" s="241"/>
      <c r="BH391" s="199">
        <f>BF391-BG391</f>
        <v>0</v>
      </c>
      <c r="BI391" s="198"/>
      <c r="BJ391" s="241"/>
      <c r="BK391" s="199">
        <f>BI391-BJ391</f>
        <v>0</v>
      </c>
      <c r="BL391" s="313"/>
      <c r="BM391" s="313"/>
      <c r="BN391" s="195">
        <f>BL391-BM391</f>
        <v>0</v>
      </c>
      <c r="BO391" s="251">
        <v>0</v>
      </c>
      <c r="BP391" s="364"/>
      <c r="BQ391" s="364"/>
      <c r="BR391" s="364"/>
      <c r="BS391" s="249" t="str">
        <f>AG391 &amp; BO391</f>
        <v>Прочие собственные средства0</v>
      </c>
      <c r="BT391" s="364"/>
      <c r="BU391" s="364"/>
      <c r="BV391" s="364"/>
      <c r="BW391" s="364"/>
      <c r="BX391" s="364"/>
      <c r="BY391" s="249" t="str">
        <f>AG391&amp;AH391</f>
        <v>Прочие собственные средстванет</v>
      </c>
      <c r="BZ391" s="250"/>
    </row>
    <row r="392" spans="3:78" ht="15" customHeight="1">
      <c r="C392" s="306"/>
      <c r="D392" s="367"/>
      <c r="E392" s="370"/>
      <c r="F392" s="406"/>
      <c r="G392" s="376"/>
      <c r="H392" s="379"/>
      <c r="I392" s="382"/>
      <c r="J392" s="382"/>
      <c r="K392" s="385"/>
      <c r="L392" s="388"/>
      <c r="M392" s="391"/>
      <c r="N392" s="395"/>
      <c r="O392" s="398"/>
      <c r="P392" s="401"/>
      <c r="Q392" s="404"/>
      <c r="R392" s="363"/>
      <c r="S392" s="363"/>
      <c r="T392" s="363"/>
      <c r="U392" s="363"/>
      <c r="V392" s="363"/>
      <c r="W392" s="363"/>
      <c r="X392" s="363"/>
      <c r="Y392" s="363"/>
      <c r="Z392" s="363"/>
      <c r="AA392" s="363"/>
      <c r="AB392" s="363"/>
      <c r="AC392" s="363"/>
      <c r="AD392" s="363"/>
      <c r="AE392" s="279" t="s">
        <v>379</v>
      </c>
      <c r="AF392" s="203"/>
      <c r="AG392" s="223" t="s">
        <v>24</v>
      </c>
      <c r="AH392" s="223"/>
      <c r="AI392" s="223"/>
      <c r="AJ392" s="223"/>
      <c r="AK392" s="223"/>
      <c r="AL392" s="223"/>
      <c r="AM392" s="223"/>
      <c r="AN392" s="223"/>
      <c r="AO392" s="223"/>
      <c r="AP392" s="168"/>
      <c r="AQ392" s="169"/>
      <c r="AR392" s="169"/>
      <c r="AS392" s="169"/>
      <c r="AT392" s="169"/>
      <c r="AU392" s="169"/>
      <c r="AV392" s="169"/>
      <c r="AW392" s="169"/>
      <c r="AX392" s="169"/>
      <c r="AY392" s="169"/>
      <c r="AZ392" s="169"/>
      <c r="BA392" s="169"/>
      <c r="BB392" s="169"/>
      <c r="BC392" s="169"/>
      <c r="BD392" s="169"/>
      <c r="BE392" s="169"/>
      <c r="BF392" s="169"/>
      <c r="BG392" s="169"/>
      <c r="BH392" s="169"/>
      <c r="BI392" s="169"/>
      <c r="BJ392" s="169"/>
      <c r="BK392" s="169"/>
      <c r="BL392" s="169"/>
      <c r="BM392" s="169"/>
      <c r="BN392" s="170"/>
      <c r="BO392" s="251"/>
      <c r="BP392" s="364"/>
      <c r="BQ392" s="364"/>
      <c r="BR392" s="364"/>
      <c r="BS392" s="250"/>
      <c r="BT392" s="364"/>
      <c r="BU392" s="364"/>
      <c r="BV392" s="364"/>
      <c r="BW392" s="364"/>
      <c r="BX392" s="364"/>
      <c r="BY392" s="250"/>
    </row>
    <row r="393" spans="3:78" ht="15" customHeight="1" thickBot="1">
      <c r="C393" s="307"/>
      <c r="D393" s="368"/>
      <c r="E393" s="371"/>
      <c r="F393" s="407"/>
      <c r="G393" s="377"/>
      <c r="H393" s="380"/>
      <c r="I393" s="383"/>
      <c r="J393" s="383"/>
      <c r="K393" s="386"/>
      <c r="L393" s="389"/>
      <c r="M393" s="392"/>
      <c r="N393" s="280" t="s">
        <v>380</v>
      </c>
      <c r="O393" s="212"/>
      <c r="P393" s="365" t="s">
        <v>154</v>
      </c>
      <c r="Q393" s="365"/>
      <c r="R393" s="171"/>
      <c r="S393" s="171"/>
      <c r="T393" s="166"/>
      <c r="U393" s="166"/>
      <c r="V393" s="166"/>
      <c r="W393" s="166"/>
      <c r="X393" s="166"/>
      <c r="Y393" s="166"/>
      <c r="Z393" s="166"/>
      <c r="AA393" s="166"/>
      <c r="AB393" s="166"/>
      <c r="AC393" s="166"/>
      <c r="AD393" s="166"/>
      <c r="AE393" s="166"/>
      <c r="AF393" s="166"/>
      <c r="AG393" s="166"/>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7"/>
      <c r="BO393" s="251"/>
      <c r="BP393" s="250"/>
      <c r="BQ393" s="250"/>
      <c r="BR393" s="250"/>
      <c r="BS393" s="250"/>
      <c r="BT393" s="250"/>
      <c r="BU393" s="250"/>
      <c r="BY393" s="250"/>
    </row>
    <row r="394" spans="3:78" ht="11.25" customHeight="1">
      <c r="C394" s="97" t="s">
        <v>1240</v>
      </c>
      <c r="D394" s="366" t="s">
        <v>1340</v>
      </c>
      <c r="E394" s="369" t="s">
        <v>199</v>
      </c>
      <c r="F394" s="405" t="s">
        <v>209</v>
      </c>
      <c r="G394" s="375" t="s">
        <v>1355</v>
      </c>
      <c r="H394" s="378" t="s">
        <v>715</v>
      </c>
      <c r="I394" s="381" t="s">
        <v>715</v>
      </c>
      <c r="J394" s="381" t="s">
        <v>716</v>
      </c>
      <c r="K394" s="384">
        <v>1</v>
      </c>
      <c r="L394" s="387" t="s">
        <v>3</v>
      </c>
      <c r="M394" s="390">
        <v>0</v>
      </c>
      <c r="N394" s="163"/>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c r="AX394" s="161"/>
      <c r="AY394" s="161"/>
      <c r="AZ394" s="161"/>
      <c r="BA394" s="161"/>
      <c r="BB394" s="161"/>
      <c r="BC394" s="161"/>
      <c r="BD394" s="161"/>
      <c r="BE394" s="161"/>
      <c r="BF394" s="161"/>
      <c r="BG394" s="161"/>
      <c r="BH394" s="161"/>
      <c r="BI394" s="161"/>
      <c r="BJ394" s="161"/>
      <c r="BK394" s="161"/>
      <c r="BL394" s="161"/>
      <c r="BM394" s="161"/>
      <c r="BN394" s="162"/>
      <c r="BO394" s="251"/>
      <c r="BP394" s="250"/>
      <c r="BQ394" s="250"/>
      <c r="BR394" s="250"/>
      <c r="BS394" s="250"/>
      <c r="BT394" s="250"/>
      <c r="BU394" s="250"/>
      <c r="BY394" s="250"/>
    </row>
    <row r="395" spans="3:78" ht="11.25" customHeight="1">
      <c r="C395" s="306"/>
      <c r="D395" s="367"/>
      <c r="E395" s="370"/>
      <c r="F395" s="406"/>
      <c r="G395" s="376"/>
      <c r="H395" s="379"/>
      <c r="I395" s="382"/>
      <c r="J395" s="382"/>
      <c r="K395" s="385"/>
      <c r="L395" s="388"/>
      <c r="M395" s="391"/>
      <c r="N395" s="393"/>
      <c r="O395" s="396">
        <v>1</v>
      </c>
      <c r="P395" s="399" t="s">
        <v>1297</v>
      </c>
      <c r="Q395" s="402"/>
      <c r="R395" s="361" t="s">
        <v>154</v>
      </c>
      <c r="S395" s="361" t="s">
        <v>154</v>
      </c>
      <c r="T395" s="361" t="s">
        <v>154</v>
      </c>
      <c r="U395" s="361" t="s">
        <v>154</v>
      </c>
      <c r="V395" s="361" t="s">
        <v>154</v>
      </c>
      <c r="W395" s="361" t="s">
        <v>154</v>
      </c>
      <c r="X395" s="361" t="s">
        <v>154</v>
      </c>
      <c r="Y395" s="361" t="s">
        <v>154</v>
      </c>
      <c r="Z395" s="361" t="s">
        <v>154</v>
      </c>
      <c r="AA395" s="361" t="s">
        <v>154</v>
      </c>
      <c r="AB395" s="361" t="s">
        <v>154</v>
      </c>
      <c r="AC395" s="361" t="s">
        <v>154</v>
      </c>
      <c r="AD395" s="361" t="s">
        <v>154</v>
      </c>
      <c r="AE395" s="209"/>
      <c r="AF395" s="220">
        <v>0</v>
      </c>
      <c r="AG395" s="219" t="s">
        <v>308</v>
      </c>
      <c r="AH395" s="219"/>
      <c r="AI395" s="219"/>
      <c r="AJ395" s="219"/>
      <c r="AK395" s="219"/>
      <c r="AL395" s="219"/>
      <c r="AM395" s="219"/>
      <c r="AN395" s="219"/>
      <c r="AO395" s="219"/>
      <c r="AP395" s="164"/>
      <c r="AQ395" s="164"/>
      <c r="AR395" s="164"/>
      <c r="AS395" s="164"/>
      <c r="AT395" s="164"/>
      <c r="AU395" s="164"/>
      <c r="AV395" s="164"/>
      <c r="AW395" s="164"/>
      <c r="AX395" s="164"/>
      <c r="AY395" s="164"/>
      <c r="AZ395" s="164"/>
      <c r="BA395" s="164"/>
      <c r="BB395" s="164"/>
      <c r="BC395" s="164"/>
      <c r="BD395" s="164"/>
      <c r="BE395" s="164"/>
      <c r="BF395" s="164"/>
      <c r="BG395" s="164"/>
      <c r="BH395" s="164"/>
      <c r="BI395" s="164"/>
      <c r="BJ395" s="164"/>
      <c r="BK395" s="164"/>
      <c r="BL395" s="164"/>
      <c r="BM395" s="164"/>
      <c r="BN395" s="165"/>
      <c r="BO395" s="251"/>
      <c r="BP395" s="364" t="s">
        <v>1298</v>
      </c>
      <c r="BQ395" s="364" t="s">
        <v>1298</v>
      </c>
      <c r="BR395" s="364" t="s">
        <v>1298</v>
      </c>
      <c r="BS395" s="250"/>
      <c r="BT395" s="364" t="s">
        <v>1298</v>
      </c>
      <c r="BU395" s="364" t="s">
        <v>1298</v>
      </c>
      <c r="BV395" s="364" t="s">
        <v>1298</v>
      </c>
      <c r="BW395" s="364" t="s">
        <v>1298</v>
      </c>
      <c r="BX395" s="364" t="s">
        <v>1298</v>
      </c>
      <c r="BY395" s="250"/>
    </row>
    <row r="396" spans="3:78" ht="14.25">
      <c r="C396" s="306"/>
      <c r="D396" s="367"/>
      <c r="E396" s="370"/>
      <c r="F396" s="406"/>
      <c r="G396" s="376"/>
      <c r="H396" s="379"/>
      <c r="I396" s="382"/>
      <c r="J396" s="382"/>
      <c r="K396" s="385"/>
      <c r="L396" s="388"/>
      <c r="M396" s="391"/>
      <c r="N396" s="394"/>
      <c r="O396" s="397"/>
      <c r="P396" s="400"/>
      <c r="Q396" s="403"/>
      <c r="R396" s="362"/>
      <c r="S396" s="362"/>
      <c r="T396" s="362"/>
      <c r="U396" s="362"/>
      <c r="V396" s="362"/>
      <c r="W396" s="362"/>
      <c r="X396" s="362"/>
      <c r="Y396" s="362"/>
      <c r="Z396" s="362"/>
      <c r="AA396" s="362"/>
      <c r="AB396" s="362"/>
      <c r="AC396" s="362"/>
      <c r="AD396" s="362"/>
      <c r="AE396" s="193"/>
      <c r="AF396" s="217" t="s">
        <v>268</v>
      </c>
      <c r="AG396" s="158" t="s">
        <v>221</v>
      </c>
      <c r="AH396" s="300" t="s">
        <v>19</v>
      </c>
      <c r="AI396" s="301" t="s">
        <v>154</v>
      </c>
      <c r="AJ396" s="221"/>
      <c r="AK396" s="221"/>
      <c r="AL396" s="221"/>
      <c r="AM396" s="221"/>
      <c r="AN396" s="221"/>
      <c r="AO396" s="221"/>
      <c r="AP396" s="302" t="s">
        <v>19</v>
      </c>
      <c r="AQ396" s="195">
        <f>SUM(AT396,AW396,AZ396,BC396,BF396,BI396,BL396)</f>
        <v>1290.35846745</v>
      </c>
      <c r="AR396" s="197">
        <f>SUM(AT396,AX396,BA396,BD396,BG396,BJ396,BM396)</f>
        <v>0</v>
      </c>
      <c r="AS396" s="195">
        <f>AQ396-AR396</f>
        <v>1290.35846745</v>
      </c>
      <c r="AT396" s="312"/>
      <c r="AU396" s="312"/>
      <c r="AV396" s="244"/>
      <c r="AW396" s="159">
        <v>1290.35846745</v>
      </c>
      <c r="AX396" s="312"/>
      <c r="AY396" s="194">
        <f>AW396-AX396</f>
        <v>1290.35846745</v>
      </c>
      <c r="AZ396" s="160"/>
      <c r="BA396" s="312"/>
      <c r="BB396" s="194">
        <f>AZ396-BA396</f>
        <v>0</v>
      </c>
      <c r="BC396" s="159"/>
      <c r="BD396" s="312"/>
      <c r="BE396" s="194">
        <f>BC396-BD396</f>
        <v>0</v>
      </c>
      <c r="BF396" s="159"/>
      <c r="BG396" s="244"/>
      <c r="BH396" s="194">
        <f>BF396-BG396</f>
        <v>0</v>
      </c>
      <c r="BI396" s="159"/>
      <c r="BJ396" s="244"/>
      <c r="BK396" s="194">
        <f>BI396-BJ396</f>
        <v>0</v>
      </c>
      <c r="BL396" s="312"/>
      <c r="BM396" s="312"/>
      <c r="BN396" s="195">
        <f>BL396-BM396</f>
        <v>0</v>
      </c>
      <c r="BO396" s="251">
        <v>0</v>
      </c>
      <c r="BP396" s="364"/>
      <c r="BQ396" s="364"/>
      <c r="BR396" s="364"/>
      <c r="BS396" s="249" t="str">
        <f>AG396 &amp; BO396</f>
        <v>Амортизационные отчисления0</v>
      </c>
      <c r="BT396" s="364"/>
      <c r="BU396" s="364"/>
      <c r="BV396" s="364"/>
      <c r="BW396" s="364"/>
      <c r="BX396" s="364"/>
      <c r="BY396" s="249" t="str">
        <f>AG396&amp;AH396</f>
        <v>Амортизационные отчислениянет</v>
      </c>
      <c r="BZ396" s="250"/>
    </row>
    <row r="397" spans="3:78" ht="14.25">
      <c r="C397" s="97"/>
      <c r="D397" s="367"/>
      <c r="E397" s="370"/>
      <c r="F397" s="406"/>
      <c r="G397" s="376"/>
      <c r="H397" s="379"/>
      <c r="I397" s="382"/>
      <c r="J397" s="382"/>
      <c r="K397" s="385"/>
      <c r="L397" s="388"/>
      <c r="M397" s="391"/>
      <c r="N397" s="394"/>
      <c r="O397" s="397"/>
      <c r="P397" s="400"/>
      <c r="Q397" s="403"/>
      <c r="R397" s="362"/>
      <c r="S397" s="362"/>
      <c r="T397" s="362"/>
      <c r="U397" s="362"/>
      <c r="V397" s="362"/>
      <c r="W397" s="362"/>
      <c r="X397" s="362"/>
      <c r="Y397" s="362"/>
      <c r="Z397" s="362"/>
      <c r="AA397" s="362"/>
      <c r="AB397" s="362"/>
      <c r="AC397" s="362"/>
      <c r="AD397" s="362"/>
      <c r="AE397" s="322" t="s">
        <v>1240</v>
      </c>
      <c r="AF397" s="217" t="s">
        <v>118</v>
      </c>
      <c r="AG397" s="196" t="s">
        <v>223</v>
      </c>
      <c r="AH397" s="302" t="s">
        <v>19</v>
      </c>
      <c r="AI397" s="301" t="s">
        <v>154</v>
      </c>
      <c r="AJ397" s="221"/>
      <c r="AK397" s="221"/>
      <c r="AL397" s="221"/>
      <c r="AM397" s="221"/>
      <c r="AN397" s="221"/>
      <c r="AO397" s="221"/>
      <c r="AP397" s="302" t="s">
        <v>19</v>
      </c>
      <c r="AQ397" s="195">
        <f>SUM(AT397,AW397,AZ397,BC397,BF397,BI397,BL397)</f>
        <v>258.07169348999992</v>
      </c>
      <c r="AR397" s="197">
        <f>SUM(AT397,AX397,BA397,BD397,BG397,BJ397,BM397)</f>
        <v>0</v>
      </c>
      <c r="AS397" s="195">
        <f>AQ397-AR397</f>
        <v>258.07169348999992</v>
      </c>
      <c r="AT397" s="315"/>
      <c r="AU397" s="315"/>
      <c r="AV397" s="241"/>
      <c r="AW397" s="198">
        <f>1548.43016094-AW396</f>
        <v>258.07169348999992</v>
      </c>
      <c r="AX397" s="313"/>
      <c r="AY397" s="199">
        <f>AW397-AX397</f>
        <v>258.07169348999992</v>
      </c>
      <c r="AZ397" s="173"/>
      <c r="BA397" s="313"/>
      <c r="BB397" s="199">
        <f>AZ397-BA397</f>
        <v>0</v>
      </c>
      <c r="BC397" s="198"/>
      <c r="BD397" s="313"/>
      <c r="BE397" s="199">
        <f>BC397-BD397</f>
        <v>0</v>
      </c>
      <c r="BF397" s="198"/>
      <c r="BG397" s="241"/>
      <c r="BH397" s="199">
        <f>BF397-BG397</f>
        <v>0</v>
      </c>
      <c r="BI397" s="198"/>
      <c r="BJ397" s="241"/>
      <c r="BK397" s="199">
        <f>BI397-BJ397</f>
        <v>0</v>
      </c>
      <c r="BL397" s="313"/>
      <c r="BM397" s="313"/>
      <c r="BN397" s="195">
        <f>BL397-BM397</f>
        <v>0</v>
      </c>
      <c r="BO397" s="251">
        <v>0</v>
      </c>
      <c r="BP397" s="364"/>
      <c r="BQ397" s="364"/>
      <c r="BR397" s="364"/>
      <c r="BS397" s="249" t="str">
        <f>AG397 &amp; BO397</f>
        <v>Прочие собственные средства0</v>
      </c>
      <c r="BT397" s="364"/>
      <c r="BU397" s="364"/>
      <c r="BV397" s="364"/>
      <c r="BW397" s="364"/>
      <c r="BX397" s="364"/>
      <c r="BY397" s="249" t="str">
        <f>AG397&amp;AH397</f>
        <v>Прочие собственные средстванет</v>
      </c>
      <c r="BZ397" s="250"/>
    </row>
    <row r="398" spans="3:78" ht="15" customHeight="1">
      <c r="C398" s="306"/>
      <c r="D398" s="367"/>
      <c r="E398" s="370"/>
      <c r="F398" s="406"/>
      <c r="G398" s="376"/>
      <c r="H398" s="379"/>
      <c r="I398" s="382"/>
      <c r="J398" s="382"/>
      <c r="K398" s="385"/>
      <c r="L398" s="388"/>
      <c r="M398" s="391"/>
      <c r="N398" s="395"/>
      <c r="O398" s="398"/>
      <c r="P398" s="401"/>
      <c r="Q398" s="404"/>
      <c r="R398" s="363"/>
      <c r="S398" s="363"/>
      <c r="T398" s="363"/>
      <c r="U398" s="363"/>
      <c r="V398" s="363"/>
      <c r="W398" s="363"/>
      <c r="X398" s="363"/>
      <c r="Y398" s="363"/>
      <c r="Z398" s="363"/>
      <c r="AA398" s="363"/>
      <c r="AB398" s="363"/>
      <c r="AC398" s="363"/>
      <c r="AD398" s="363"/>
      <c r="AE398" s="279" t="s">
        <v>379</v>
      </c>
      <c r="AF398" s="203"/>
      <c r="AG398" s="223" t="s">
        <v>24</v>
      </c>
      <c r="AH398" s="223"/>
      <c r="AI398" s="223"/>
      <c r="AJ398" s="223"/>
      <c r="AK398" s="223"/>
      <c r="AL398" s="223"/>
      <c r="AM398" s="223"/>
      <c r="AN398" s="223"/>
      <c r="AO398" s="223"/>
      <c r="AP398" s="168"/>
      <c r="AQ398" s="169"/>
      <c r="AR398" s="169"/>
      <c r="AS398" s="169"/>
      <c r="AT398" s="169"/>
      <c r="AU398" s="169"/>
      <c r="AV398" s="169"/>
      <c r="AW398" s="169"/>
      <c r="AX398" s="169"/>
      <c r="AY398" s="169"/>
      <c r="AZ398" s="169"/>
      <c r="BA398" s="169"/>
      <c r="BB398" s="169"/>
      <c r="BC398" s="169"/>
      <c r="BD398" s="169"/>
      <c r="BE398" s="169"/>
      <c r="BF398" s="169"/>
      <c r="BG398" s="169"/>
      <c r="BH398" s="169"/>
      <c r="BI398" s="169"/>
      <c r="BJ398" s="169"/>
      <c r="BK398" s="169"/>
      <c r="BL398" s="169"/>
      <c r="BM398" s="169"/>
      <c r="BN398" s="170"/>
      <c r="BO398" s="251"/>
      <c r="BP398" s="364"/>
      <c r="BQ398" s="364"/>
      <c r="BR398" s="364"/>
      <c r="BS398" s="250"/>
      <c r="BT398" s="364"/>
      <c r="BU398" s="364"/>
      <c r="BV398" s="364"/>
      <c r="BW398" s="364"/>
      <c r="BX398" s="364"/>
      <c r="BY398" s="250"/>
    </row>
    <row r="399" spans="3:78" ht="15" customHeight="1" thickBot="1">
      <c r="C399" s="307"/>
      <c r="D399" s="368"/>
      <c r="E399" s="371"/>
      <c r="F399" s="407"/>
      <c r="G399" s="377"/>
      <c r="H399" s="380"/>
      <c r="I399" s="383"/>
      <c r="J399" s="383"/>
      <c r="K399" s="386"/>
      <c r="L399" s="389"/>
      <c r="M399" s="392"/>
      <c r="N399" s="280" t="s">
        <v>380</v>
      </c>
      <c r="O399" s="212"/>
      <c r="P399" s="365" t="s">
        <v>154</v>
      </c>
      <c r="Q399" s="365"/>
      <c r="R399" s="171"/>
      <c r="S399" s="171"/>
      <c r="T399" s="166"/>
      <c r="U399" s="166"/>
      <c r="V399" s="166"/>
      <c r="W399" s="166"/>
      <c r="X399" s="166"/>
      <c r="Y399" s="166"/>
      <c r="Z399" s="166"/>
      <c r="AA399" s="166"/>
      <c r="AB399" s="166"/>
      <c r="AC399" s="166"/>
      <c r="AD399" s="166"/>
      <c r="AE399" s="166"/>
      <c r="AF399" s="166"/>
      <c r="AG399" s="166"/>
      <c r="AH399" s="166"/>
      <c r="AI399" s="166"/>
      <c r="AJ399" s="166"/>
      <c r="AK399" s="166"/>
      <c r="AL399" s="166"/>
      <c r="AM399" s="166"/>
      <c r="AN399" s="166"/>
      <c r="AO399" s="166"/>
      <c r="AP399" s="166"/>
      <c r="AQ399" s="166"/>
      <c r="AR399" s="166"/>
      <c r="AS399" s="166"/>
      <c r="AT399" s="166"/>
      <c r="AU399" s="166"/>
      <c r="AV399" s="166"/>
      <c r="AW399" s="166"/>
      <c r="AX399" s="166"/>
      <c r="AY399" s="166"/>
      <c r="AZ399" s="166"/>
      <c r="BA399" s="166"/>
      <c r="BB399" s="166"/>
      <c r="BC399" s="166"/>
      <c r="BD399" s="166"/>
      <c r="BE399" s="166"/>
      <c r="BF399" s="166"/>
      <c r="BG399" s="166"/>
      <c r="BH399" s="166"/>
      <c r="BI399" s="166"/>
      <c r="BJ399" s="166"/>
      <c r="BK399" s="166"/>
      <c r="BL399" s="166"/>
      <c r="BM399" s="166"/>
      <c r="BN399" s="167"/>
      <c r="BO399" s="251"/>
      <c r="BP399" s="250"/>
      <c r="BQ399" s="250"/>
      <c r="BR399" s="250"/>
      <c r="BS399" s="250"/>
      <c r="BT399" s="250"/>
      <c r="BU399" s="250"/>
      <c r="BY399" s="250"/>
    </row>
    <row r="400" spans="3:78" ht="11.25" customHeight="1">
      <c r="C400" s="97" t="s">
        <v>1240</v>
      </c>
      <c r="D400" s="366" t="s">
        <v>1341</v>
      </c>
      <c r="E400" s="369" t="s">
        <v>199</v>
      </c>
      <c r="F400" s="405" t="s">
        <v>209</v>
      </c>
      <c r="G400" s="375" t="s">
        <v>1480</v>
      </c>
      <c r="H400" s="378" t="s">
        <v>715</v>
      </c>
      <c r="I400" s="381" t="s">
        <v>715</v>
      </c>
      <c r="J400" s="381" t="s">
        <v>716</v>
      </c>
      <c r="K400" s="384">
        <v>1</v>
      </c>
      <c r="L400" s="387" t="s">
        <v>3</v>
      </c>
      <c r="M400" s="390">
        <v>0</v>
      </c>
      <c r="N400" s="163"/>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c r="AX400" s="161"/>
      <c r="AY400" s="161"/>
      <c r="AZ400" s="161"/>
      <c r="BA400" s="161"/>
      <c r="BB400" s="161"/>
      <c r="BC400" s="161"/>
      <c r="BD400" s="161"/>
      <c r="BE400" s="161"/>
      <c r="BF400" s="161"/>
      <c r="BG400" s="161"/>
      <c r="BH400" s="161"/>
      <c r="BI400" s="161"/>
      <c r="BJ400" s="161"/>
      <c r="BK400" s="161"/>
      <c r="BL400" s="161"/>
      <c r="BM400" s="161"/>
      <c r="BN400" s="162"/>
      <c r="BO400" s="251"/>
      <c r="BP400" s="250"/>
      <c r="BQ400" s="250"/>
      <c r="BR400" s="250"/>
      <c r="BS400" s="250"/>
      <c r="BT400" s="250"/>
      <c r="BU400" s="250"/>
      <c r="BY400" s="250"/>
    </row>
    <row r="401" spans="3:78" ht="11.25" customHeight="1">
      <c r="C401" s="306"/>
      <c r="D401" s="367"/>
      <c r="E401" s="370"/>
      <c r="F401" s="406"/>
      <c r="G401" s="376"/>
      <c r="H401" s="379"/>
      <c r="I401" s="382"/>
      <c r="J401" s="382"/>
      <c r="K401" s="385"/>
      <c r="L401" s="388"/>
      <c r="M401" s="391"/>
      <c r="N401" s="393"/>
      <c r="O401" s="396">
        <v>1</v>
      </c>
      <c r="P401" s="399" t="s">
        <v>1297</v>
      </c>
      <c r="Q401" s="402"/>
      <c r="R401" s="361" t="s">
        <v>154</v>
      </c>
      <c r="S401" s="361" t="s">
        <v>154</v>
      </c>
      <c r="T401" s="361" t="s">
        <v>154</v>
      </c>
      <c r="U401" s="361" t="s">
        <v>154</v>
      </c>
      <c r="V401" s="361" t="s">
        <v>154</v>
      </c>
      <c r="W401" s="361" t="s">
        <v>154</v>
      </c>
      <c r="X401" s="361" t="s">
        <v>154</v>
      </c>
      <c r="Y401" s="361" t="s">
        <v>154</v>
      </c>
      <c r="Z401" s="361" t="s">
        <v>154</v>
      </c>
      <c r="AA401" s="361" t="s">
        <v>154</v>
      </c>
      <c r="AB401" s="361" t="s">
        <v>154</v>
      </c>
      <c r="AC401" s="361" t="s">
        <v>154</v>
      </c>
      <c r="AD401" s="361" t="s">
        <v>154</v>
      </c>
      <c r="AE401" s="209"/>
      <c r="AF401" s="220">
        <v>0</v>
      </c>
      <c r="AG401" s="219" t="s">
        <v>308</v>
      </c>
      <c r="AH401" s="219"/>
      <c r="AI401" s="219"/>
      <c r="AJ401" s="219"/>
      <c r="AK401" s="219"/>
      <c r="AL401" s="219"/>
      <c r="AM401" s="219"/>
      <c r="AN401" s="219"/>
      <c r="AO401" s="219"/>
      <c r="AP401" s="164"/>
      <c r="AQ401" s="164"/>
      <c r="AR401" s="164"/>
      <c r="AS401" s="164"/>
      <c r="AT401" s="164"/>
      <c r="AU401" s="164"/>
      <c r="AV401" s="164"/>
      <c r="AW401" s="164"/>
      <c r="AX401" s="164"/>
      <c r="AY401" s="164"/>
      <c r="AZ401" s="164"/>
      <c r="BA401" s="164"/>
      <c r="BB401" s="164"/>
      <c r="BC401" s="164"/>
      <c r="BD401" s="164"/>
      <c r="BE401" s="164"/>
      <c r="BF401" s="164"/>
      <c r="BG401" s="164"/>
      <c r="BH401" s="164"/>
      <c r="BI401" s="164"/>
      <c r="BJ401" s="164"/>
      <c r="BK401" s="164"/>
      <c r="BL401" s="164"/>
      <c r="BM401" s="164"/>
      <c r="BN401" s="165"/>
      <c r="BO401" s="251"/>
      <c r="BP401" s="364" t="s">
        <v>1298</v>
      </c>
      <c r="BQ401" s="364" t="s">
        <v>1298</v>
      </c>
      <c r="BR401" s="364" t="s">
        <v>1298</v>
      </c>
      <c r="BS401" s="250"/>
      <c r="BT401" s="364" t="s">
        <v>1298</v>
      </c>
      <c r="BU401" s="364" t="s">
        <v>1298</v>
      </c>
      <c r="BV401" s="364" t="s">
        <v>1298</v>
      </c>
      <c r="BW401" s="364" t="s">
        <v>1298</v>
      </c>
      <c r="BX401" s="364" t="s">
        <v>1298</v>
      </c>
      <c r="BY401" s="250"/>
    </row>
    <row r="402" spans="3:78" ht="14.25">
      <c r="C402" s="306"/>
      <c r="D402" s="367"/>
      <c r="E402" s="370"/>
      <c r="F402" s="406"/>
      <c r="G402" s="376"/>
      <c r="H402" s="379"/>
      <c r="I402" s="382"/>
      <c r="J402" s="382"/>
      <c r="K402" s="385"/>
      <c r="L402" s="388"/>
      <c r="M402" s="391"/>
      <c r="N402" s="394"/>
      <c r="O402" s="397"/>
      <c r="P402" s="400"/>
      <c r="Q402" s="403"/>
      <c r="R402" s="362"/>
      <c r="S402" s="362"/>
      <c r="T402" s="362"/>
      <c r="U402" s="362"/>
      <c r="V402" s="362"/>
      <c r="W402" s="362"/>
      <c r="X402" s="362"/>
      <c r="Y402" s="362"/>
      <c r="Z402" s="362"/>
      <c r="AA402" s="362"/>
      <c r="AB402" s="362"/>
      <c r="AC402" s="362"/>
      <c r="AD402" s="362"/>
      <c r="AE402" s="193"/>
      <c r="AF402" s="217" t="s">
        <v>268</v>
      </c>
      <c r="AG402" s="158" t="s">
        <v>221</v>
      </c>
      <c r="AH402" s="300" t="s">
        <v>19</v>
      </c>
      <c r="AI402" s="301" t="s">
        <v>154</v>
      </c>
      <c r="AJ402" s="221"/>
      <c r="AK402" s="221"/>
      <c r="AL402" s="221"/>
      <c r="AM402" s="221"/>
      <c r="AN402" s="221"/>
      <c r="AO402" s="221"/>
      <c r="AP402" s="302" t="s">
        <v>19</v>
      </c>
      <c r="AQ402" s="195">
        <f>SUM(AT402,AW402,AZ402,BC402,BF402,BI402,BL402)</f>
        <v>2337.1808165560501</v>
      </c>
      <c r="AR402" s="197">
        <f>SUM(AT402,AX402,BA402,BD402,BG402,BJ402,BM402)</f>
        <v>0</v>
      </c>
      <c r="AS402" s="195">
        <f>AQ402-AR402</f>
        <v>2337.1808165560501</v>
      </c>
      <c r="AT402" s="312"/>
      <c r="AU402" s="312"/>
      <c r="AV402" s="244"/>
      <c r="AW402" s="159">
        <v>2337.1808165560501</v>
      </c>
      <c r="AX402" s="312"/>
      <c r="AY402" s="194">
        <f>AW402-AX402</f>
        <v>2337.1808165560501</v>
      </c>
      <c r="AZ402" s="160"/>
      <c r="BA402" s="312"/>
      <c r="BB402" s="194">
        <f>AZ402-BA402</f>
        <v>0</v>
      </c>
      <c r="BC402" s="159"/>
      <c r="BD402" s="312"/>
      <c r="BE402" s="194">
        <f>BC402-BD402</f>
        <v>0</v>
      </c>
      <c r="BF402" s="159"/>
      <c r="BG402" s="244"/>
      <c r="BH402" s="194">
        <f>BF402-BG402</f>
        <v>0</v>
      </c>
      <c r="BI402" s="159"/>
      <c r="BJ402" s="244"/>
      <c r="BK402" s="194">
        <f>BI402-BJ402</f>
        <v>0</v>
      </c>
      <c r="BL402" s="312"/>
      <c r="BM402" s="312"/>
      <c r="BN402" s="195">
        <f>BL402-BM402</f>
        <v>0</v>
      </c>
      <c r="BO402" s="251">
        <v>0</v>
      </c>
      <c r="BP402" s="364"/>
      <c r="BQ402" s="364"/>
      <c r="BR402" s="364"/>
      <c r="BS402" s="249" t="str">
        <f>AG402 &amp; BO402</f>
        <v>Амортизационные отчисления0</v>
      </c>
      <c r="BT402" s="364"/>
      <c r="BU402" s="364"/>
      <c r="BV402" s="364"/>
      <c r="BW402" s="364"/>
      <c r="BX402" s="364"/>
      <c r="BY402" s="249" t="str">
        <f>AG402&amp;AH402</f>
        <v>Амортизационные отчислениянет</v>
      </c>
      <c r="BZ402" s="250"/>
    </row>
    <row r="403" spans="3:78" ht="14.25">
      <c r="C403" s="97"/>
      <c r="D403" s="367"/>
      <c r="E403" s="370"/>
      <c r="F403" s="406"/>
      <c r="G403" s="376"/>
      <c r="H403" s="379"/>
      <c r="I403" s="382"/>
      <c r="J403" s="382"/>
      <c r="K403" s="385"/>
      <c r="L403" s="388"/>
      <c r="M403" s="391"/>
      <c r="N403" s="394"/>
      <c r="O403" s="397"/>
      <c r="P403" s="400"/>
      <c r="Q403" s="403"/>
      <c r="R403" s="362"/>
      <c r="S403" s="362"/>
      <c r="T403" s="362"/>
      <c r="U403" s="362"/>
      <c r="V403" s="362"/>
      <c r="W403" s="362"/>
      <c r="X403" s="362"/>
      <c r="Y403" s="362"/>
      <c r="Z403" s="362"/>
      <c r="AA403" s="362"/>
      <c r="AB403" s="362"/>
      <c r="AC403" s="362"/>
      <c r="AD403" s="362"/>
      <c r="AE403" s="322" t="s">
        <v>1240</v>
      </c>
      <c r="AF403" s="217" t="s">
        <v>118</v>
      </c>
      <c r="AG403" s="196" t="s">
        <v>223</v>
      </c>
      <c r="AH403" s="302" t="s">
        <v>19</v>
      </c>
      <c r="AI403" s="301" t="s">
        <v>154</v>
      </c>
      <c r="AJ403" s="221"/>
      <c r="AK403" s="221"/>
      <c r="AL403" s="221"/>
      <c r="AM403" s="221"/>
      <c r="AN403" s="221"/>
      <c r="AO403" s="221"/>
      <c r="AP403" s="302" t="s">
        <v>19</v>
      </c>
      <c r="AQ403" s="195">
        <f>SUM(AT403,AW403,AZ403,BC403,BF403,BI403,BL403)</f>
        <v>467.43616331120984</v>
      </c>
      <c r="AR403" s="197">
        <f>SUM(AT403,AX403,BA403,BD403,BG403,BJ403,BM403)</f>
        <v>0</v>
      </c>
      <c r="AS403" s="195">
        <f>AQ403-AR403</f>
        <v>467.43616331120984</v>
      </c>
      <c r="AT403" s="315"/>
      <c r="AU403" s="315"/>
      <c r="AV403" s="241"/>
      <c r="AW403" s="198">
        <f>2804.61697986726-AW402</f>
        <v>467.43616331120984</v>
      </c>
      <c r="AX403" s="313"/>
      <c r="AY403" s="199">
        <f>AW403-AX403</f>
        <v>467.43616331120984</v>
      </c>
      <c r="AZ403" s="173"/>
      <c r="BA403" s="313"/>
      <c r="BB403" s="199">
        <f>AZ403-BA403</f>
        <v>0</v>
      </c>
      <c r="BC403" s="198"/>
      <c r="BD403" s="313"/>
      <c r="BE403" s="199">
        <f>BC403-BD403</f>
        <v>0</v>
      </c>
      <c r="BF403" s="198"/>
      <c r="BG403" s="241"/>
      <c r="BH403" s="199">
        <f>BF403-BG403</f>
        <v>0</v>
      </c>
      <c r="BI403" s="198"/>
      <c r="BJ403" s="241"/>
      <c r="BK403" s="199">
        <f>BI403-BJ403</f>
        <v>0</v>
      </c>
      <c r="BL403" s="313"/>
      <c r="BM403" s="313"/>
      <c r="BN403" s="195">
        <f>BL403-BM403</f>
        <v>0</v>
      </c>
      <c r="BO403" s="251">
        <v>0</v>
      </c>
      <c r="BP403" s="364"/>
      <c r="BQ403" s="364"/>
      <c r="BR403" s="364"/>
      <c r="BS403" s="249" t="str">
        <f>AG403 &amp; BO403</f>
        <v>Прочие собственные средства0</v>
      </c>
      <c r="BT403" s="364"/>
      <c r="BU403" s="364"/>
      <c r="BV403" s="364"/>
      <c r="BW403" s="364"/>
      <c r="BX403" s="364"/>
      <c r="BY403" s="249" t="str">
        <f>AG403&amp;AH403</f>
        <v>Прочие собственные средстванет</v>
      </c>
      <c r="BZ403" s="250"/>
    </row>
    <row r="404" spans="3:78" ht="15" customHeight="1">
      <c r="C404" s="306"/>
      <c r="D404" s="367"/>
      <c r="E404" s="370"/>
      <c r="F404" s="406"/>
      <c r="G404" s="376"/>
      <c r="H404" s="379"/>
      <c r="I404" s="382"/>
      <c r="J404" s="382"/>
      <c r="K404" s="385"/>
      <c r="L404" s="388"/>
      <c r="M404" s="391"/>
      <c r="N404" s="395"/>
      <c r="O404" s="398"/>
      <c r="P404" s="401"/>
      <c r="Q404" s="404"/>
      <c r="R404" s="363"/>
      <c r="S404" s="363"/>
      <c r="T404" s="363"/>
      <c r="U404" s="363"/>
      <c r="V404" s="363"/>
      <c r="W404" s="363"/>
      <c r="X404" s="363"/>
      <c r="Y404" s="363"/>
      <c r="Z404" s="363"/>
      <c r="AA404" s="363"/>
      <c r="AB404" s="363"/>
      <c r="AC404" s="363"/>
      <c r="AD404" s="363"/>
      <c r="AE404" s="279" t="s">
        <v>379</v>
      </c>
      <c r="AF404" s="203"/>
      <c r="AG404" s="223" t="s">
        <v>24</v>
      </c>
      <c r="AH404" s="223"/>
      <c r="AI404" s="223"/>
      <c r="AJ404" s="223"/>
      <c r="AK404" s="223"/>
      <c r="AL404" s="223"/>
      <c r="AM404" s="223"/>
      <c r="AN404" s="223"/>
      <c r="AO404" s="223"/>
      <c r="AP404" s="168"/>
      <c r="AQ404" s="169"/>
      <c r="AR404" s="169"/>
      <c r="AS404" s="169"/>
      <c r="AT404" s="169"/>
      <c r="AU404" s="169"/>
      <c r="AV404" s="169"/>
      <c r="AW404" s="169"/>
      <c r="AX404" s="169"/>
      <c r="AY404" s="169"/>
      <c r="AZ404" s="169"/>
      <c r="BA404" s="169"/>
      <c r="BB404" s="169"/>
      <c r="BC404" s="169"/>
      <c r="BD404" s="169"/>
      <c r="BE404" s="169"/>
      <c r="BF404" s="169"/>
      <c r="BG404" s="169"/>
      <c r="BH404" s="169"/>
      <c r="BI404" s="169"/>
      <c r="BJ404" s="169"/>
      <c r="BK404" s="169"/>
      <c r="BL404" s="169"/>
      <c r="BM404" s="169"/>
      <c r="BN404" s="170"/>
      <c r="BO404" s="251"/>
      <c r="BP404" s="364"/>
      <c r="BQ404" s="364"/>
      <c r="BR404" s="364"/>
      <c r="BS404" s="250"/>
      <c r="BT404" s="364"/>
      <c r="BU404" s="364"/>
      <c r="BV404" s="364"/>
      <c r="BW404" s="364"/>
      <c r="BX404" s="364"/>
      <c r="BY404" s="250"/>
    </row>
    <row r="405" spans="3:78" ht="15" customHeight="1" thickBot="1">
      <c r="C405" s="307"/>
      <c r="D405" s="368"/>
      <c r="E405" s="371"/>
      <c r="F405" s="407"/>
      <c r="G405" s="377"/>
      <c r="H405" s="380"/>
      <c r="I405" s="383"/>
      <c r="J405" s="383"/>
      <c r="K405" s="386"/>
      <c r="L405" s="389"/>
      <c r="M405" s="392"/>
      <c r="N405" s="280" t="s">
        <v>380</v>
      </c>
      <c r="O405" s="212"/>
      <c r="P405" s="365" t="s">
        <v>154</v>
      </c>
      <c r="Q405" s="365"/>
      <c r="R405" s="171"/>
      <c r="S405" s="171"/>
      <c r="T405" s="166"/>
      <c r="U405" s="166"/>
      <c r="V405" s="166"/>
      <c r="W405" s="166"/>
      <c r="X405" s="166"/>
      <c r="Y405" s="166"/>
      <c r="Z405" s="166"/>
      <c r="AA405" s="166"/>
      <c r="AB405" s="166"/>
      <c r="AC405" s="166"/>
      <c r="AD405" s="166"/>
      <c r="AE405" s="166"/>
      <c r="AF405" s="166"/>
      <c r="AG405" s="166"/>
      <c r="AH405" s="166"/>
      <c r="AI405" s="166"/>
      <c r="AJ405" s="166"/>
      <c r="AK405" s="166"/>
      <c r="AL405" s="166"/>
      <c r="AM405" s="166"/>
      <c r="AN405" s="166"/>
      <c r="AO405" s="166"/>
      <c r="AP405" s="166"/>
      <c r="AQ405" s="166"/>
      <c r="AR405" s="166"/>
      <c r="AS405" s="166"/>
      <c r="AT405" s="166"/>
      <c r="AU405" s="166"/>
      <c r="AV405" s="166"/>
      <c r="AW405" s="166"/>
      <c r="AX405" s="166"/>
      <c r="AY405" s="166"/>
      <c r="AZ405" s="166"/>
      <c r="BA405" s="166"/>
      <c r="BB405" s="166"/>
      <c r="BC405" s="166"/>
      <c r="BD405" s="166"/>
      <c r="BE405" s="166"/>
      <c r="BF405" s="166"/>
      <c r="BG405" s="166"/>
      <c r="BH405" s="166"/>
      <c r="BI405" s="166"/>
      <c r="BJ405" s="166"/>
      <c r="BK405" s="166"/>
      <c r="BL405" s="166"/>
      <c r="BM405" s="166"/>
      <c r="BN405" s="167"/>
      <c r="BO405" s="251"/>
      <c r="BP405" s="250"/>
      <c r="BQ405" s="250"/>
      <c r="BR405" s="250"/>
      <c r="BS405" s="250"/>
      <c r="BT405" s="250"/>
      <c r="BU405" s="250"/>
      <c r="BY405" s="250"/>
    </row>
    <row r="406" spans="3:78" ht="11.25" customHeight="1">
      <c r="C406" s="97" t="s">
        <v>1240</v>
      </c>
      <c r="D406" s="366" t="s">
        <v>1342</v>
      </c>
      <c r="E406" s="369" t="s">
        <v>199</v>
      </c>
      <c r="F406" s="405" t="s">
        <v>209</v>
      </c>
      <c r="G406" s="375" t="s">
        <v>1481</v>
      </c>
      <c r="H406" s="378" t="s">
        <v>715</v>
      </c>
      <c r="I406" s="381" t="s">
        <v>715</v>
      </c>
      <c r="J406" s="381" t="s">
        <v>716</v>
      </c>
      <c r="K406" s="384">
        <v>1</v>
      </c>
      <c r="L406" s="387" t="s">
        <v>3</v>
      </c>
      <c r="M406" s="390">
        <v>0</v>
      </c>
      <c r="N406" s="163"/>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c r="AX406" s="161"/>
      <c r="AY406" s="161"/>
      <c r="AZ406" s="161"/>
      <c r="BA406" s="161"/>
      <c r="BB406" s="161"/>
      <c r="BC406" s="161"/>
      <c r="BD406" s="161"/>
      <c r="BE406" s="161"/>
      <c r="BF406" s="161"/>
      <c r="BG406" s="161"/>
      <c r="BH406" s="161"/>
      <c r="BI406" s="161"/>
      <c r="BJ406" s="161"/>
      <c r="BK406" s="161"/>
      <c r="BL406" s="161"/>
      <c r="BM406" s="161"/>
      <c r="BN406" s="162"/>
      <c r="BO406" s="251"/>
      <c r="BP406" s="250"/>
      <c r="BQ406" s="250"/>
      <c r="BR406" s="250"/>
      <c r="BS406" s="250"/>
      <c r="BT406" s="250"/>
      <c r="BU406" s="250"/>
      <c r="BY406" s="250"/>
    </row>
    <row r="407" spans="3:78" ht="11.25" customHeight="1">
      <c r="C407" s="306"/>
      <c r="D407" s="367"/>
      <c r="E407" s="370"/>
      <c r="F407" s="406"/>
      <c r="G407" s="376"/>
      <c r="H407" s="379"/>
      <c r="I407" s="382"/>
      <c r="J407" s="382"/>
      <c r="K407" s="385"/>
      <c r="L407" s="388"/>
      <c r="M407" s="391"/>
      <c r="N407" s="393"/>
      <c r="O407" s="396">
        <v>1</v>
      </c>
      <c r="P407" s="399" t="s">
        <v>1297</v>
      </c>
      <c r="Q407" s="402"/>
      <c r="R407" s="361" t="s">
        <v>154</v>
      </c>
      <c r="S407" s="361" t="s">
        <v>154</v>
      </c>
      <c r="T407" s="361" t="s">
        <v>154</v>
      </c>
      <c r="U407" s="361" t="s">
        <v>154</v>
      </c>
      <c r="V407" s="361" t="s">
        <v>154</v>
      </c>
      <c r="W407" s="361" t="s">
        <v>154</v>
      </c>
      <c r="X407" s="361" t="s">
        <v>154</v>
      </c>
      <c r="Y407" s="361" t="s">
        <v>154</v>
      </c>
      <c r="Z407" s="361" t="s">
        <v>154</v>
      </c>
      <c r="AA407" s="361" t="s">
        <v>154</v>
      </c>
      <c r="AB407" s="361" t="s">
        <v>154</v>
      </c>
      <c r="AC407" s="361" t="s">
        <v>154</v>
      </c>
      <c r="AD407" s="361" t="s">
        <v>154</v>
      </c>
      <c r="AE407" s="209"/>
      <c r="AF407" s="220">
        <v>0</v>
      </c>
      <c r="AG407" s="219" t="s">
        <v>308</v>
      </c>
      <c r="AH407" s="219"/>
      <c r="AI407" s="219"/>
      <c r="AJ407" s="219"/>
      <c r="AK407" s="219"/>
      <c r="AL407" s="219"/>
      <c r="AM407" s="219"/>
      <c r="AN407" s="219"/>
      <c r="AO407" s="219"/>
      <c r="AP407" s="164"/>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64"/>
      <c r="BM407" s="164"/>
      <c r="BN407" s="165"/>
      <c r="BO407" s="251"/>
      <c r="BP407" s="364" t="s">
        <v>1298</v>
      </c>
      <c r="BQ407" s="364" t="s">
        <v>1298</v>
      </c>
      <c r="BR407" s="364" t="s">
        <v>1298</v>
      </c>
      <c r="BS407" s="250"/>
      <c r="BT407" s="364" t="s">
        <v>1298</v>
      </c>
      <c r="BU407" s="364" t="s">
        <v>1298</v>
      </c>
      <c r="BV407" s="364" t="s">
        <v>1298</v>
      </c>
      <c r="BW407" s="364" t="s">
        <v>1298</v>
      </c>
      <c r="BX407" s="364" t="s">
        <v>1298</v>
      </c>
      <c r="BY407" s="250"/>
    </row>
    <row r="408" spans="3:78" ht="14.25">
      <c r="C408" s="306"/>
      <c r="D408" s="367"/>
      <c r="E408" s="370"/>
      <c r="F408" s="406"/>
      <c r="G408" s="376"/>
      <c r="H408" s="379"/>
      <c r="I408" s="382"/>
      <c r="J408" s="382"/>
      <c r="K408" s="385"/>
      <c r="L408" s="388"/>
      <c r="M408" s="391"/>
      <c r="N408" s="394"/>
      <c r="O408" s="397"/>
      <c r="P408" s="400"/>
      <c r="Q408" s="403"/>
      <c r="R408" s="362"/>
      <c r="S408" s="362"/>
      <c r="T408" s="362"/>
      <c r="U408" s="362"/>
      <c r="V408" s="362"/>
      <c r="W408" s="362"/>
      <c r="X408" s="362"/>
      <c r="Y408" s="362"/>
      <c r="Z408" s="362"/>
      <c r="AA408" s="362"/>
      <c r="AB408" s="362"/>
      <c r="AC408" s="362"/>
      <c r="AD408" s="362"/>
      <c r="AE408" s="193"/>
      <c r="AF408" s="217" t="s">
        <v>268</v>
      </c>
      <c r="AG408" s="158" t="s">
        <v>221</v>
      </c>
      <c r="AH408" s="300" t="s">
        <v>19</v>
      </c>
      <c r="AI408" s="301" t="s">
        <v>154</v>
      </c>
      <c r="AJ408" s="221"/>
      <c r="AK408" s="221"/>
      <c r="AL408" s="221"/>
      <c r="AM408" s="221"/>
      <c r="AN408" s="221"/>
      <c r="AO408" s="221"/>
      <c r="AP408" s="302" t="s">
        <v>19</v>
      </c>
      <c r="AQ408" s="195">
        <f>SUM(AT408,AW408,AZ408,BC408,BF408,BI408,BL408)</f>
        <v>1205.97837975225</v>
      </c>
      <c r="AR408" s="197">
        <f>SUM(AT408,AX408,BA408,BD408,BG408,BJ408,BM408)</f>
        <v>0</v>
      </c>
      <c r="AS408" s="195">
        <f>AQ408-AR408</f>
        <v>1205.97837975225</v>
      </c>
      <c r="AT408" s="312"/>
      <c r="AU408" s="312"/>
      <c r="AV408" s="244"/>
      <c r="AW408" s="159">
        <v>1205.97837975225</v>
      </c>
      <c r="AX408" s="312"/>
      <c r="AY408" s="194">
        <f>AW408-AX408</f>
        <v>1205.97837975225</v>
      </c>
      <c r="AZ408" s="160"/>
      <c r="BA408" s="312"/>
      <c r="BB408" s="194">
        <f>AZ408-BA408</f>
        <v>0</v>
      </c>
      <c r="BC408" s="159"/>
      <c r="BD408" s="312"/>
      <c r="BE408" s="194">
        <f>BC408-BD408</f>
        <v>0</v>
      </c>
      <c r="BF408" s="159"/>
      <c r="BG408" s="244"/>
      <c r="BH408" s="194">
        <f>BF408-BG408</f>
        <v>0</v>
      </c>
      <c r="BI408" s="159"/>
      <c r="BJ408" s="244"/>
      <c r="BK408" s="194">
        <f>BI408-BJ408</f>
        <v>0</v>
      </c>
      <c r="BL408" s="312"/>
      <c r="BM408" s="312"/>
      <c r="BN408" s="195">
        <f>BL408-BM408</f>
        <v>0</v>
      </c>
      <c r="BO408" s="251">
        <v>0</v>
      </c>
      <c r="BP408" s="364"/>
      <c r="BQ408" s="364"/>
      <c r="BR408" s="364"/>
      <c r="BS408" s="249" t="str">
        <f>AG408 &amp; BO408</f>
        <v>Амортизационные отчисления0</v>
      </c>
      <c r="BT408" s="364"/>
      <c r="BU408" s="364"/>
      <c r="BV408" s="364"/>
      <c r="BW408" s="364"/>
      <c r="BX408" s="364"/>
      <c r="BY408" s="249" t="str">
        <f>AG408&amp;AH408</f>
        <v>Амортизационные отчислениянет</v>
      </c>
      <c r="BZ408" s="250"/>
    </row>
    <row r="409" spans="3:78" ht="14.25">
      <c r="C409" s="97"/>
      <c r="D409" s="367"/>
      <c r="E409" s="370"/>
      <c r="F409" s="406"/>
      <c r="G409" s="376"/>
      <c r="H409" s="379"/>
      <c r="I409" s="382"/>
      <c r="J409" s="382"/>
      <c r="K409" s="385"/>
      <c r="L409" s="388"/>
      <c r="M409" s="391"/>
      <c r="N409" s="394"/>
      <c r="O409" s="397"/>
      <c r="P409" s="400"/>
      <c r="Q409" s="403"/>
      <c r="R409" s="362"/>
      <c r="S409" s="362"/>
      <c r="T409" s="362"/>
      <c r="U409" s="362"/>
      <c r="V409" s="362"/>
      <c r="W409" s="362"/>
      <c r="X409" s="362"/>
      <c r="Y409" s="362"/>
      <c r="Z409" s="362"/>
      <c r="AA409" s="362"/>
      <c r="AB409" s="362"/>
      <c r="AC409" s="362"/>
      <c r="AD409" s="362"/>
      <c r="AE409" s="322" t="s">
        <v>1240</v>
      </c>
      <c r="AF409" s="217" t="s">
        <v>118</v>
      </c>
      <c r="AG409" s="196" t="s">
        <v>223</v>
      </c>
      <c r="AH409" s="302" t="s">
        <v>19</v>
      </c>
      <c r="AI409" s="301" t="s">
        <v>154</v>
      </c>
      <c r="AJ409" s="221"/>
      <c r="AK409" s="221"/>
      <c r="AL409" s="221"/>
      <c r="AM409" s="221"/>
      <c r="AN409" s="221"/>
      <c r="AO409" s="221"/>
      <c r="AP409" s="302" t="s">
        <v>19</v>
      </c>
      <c r="AQ409" s="195">
        <f>SUM(AT409,AW409,AZ409,BC409,BF409,BI409,BL409)</f>
        <v>241.19567595044987</v>
      </c>
      <c r="AR409" s="197">
        <f>SUM(AT409,AX409,BA409,BD409,BG409,BJ409,BM409)</f>
        <v>0</v>
      </c>
      <c r="AS409" s="195">
        <f>AQ409-AR409</f>
        <v>241.19567595044987</v>
      </c>
      <c r="AT409" s="315"/>
      <c r="AU409" s="315"/>
      <c r="AV409" s="241"/>
      <c r="AW409" s="198">
        <f>1447.1740557027-AW408</f>
        <v>241.19567595044987</v>
      </c>
      <c r="AX409" s="313"/>
      <c r="AY409" s="199">
        <f>AW409-AX409</f>
        <v>241.19567595044987</v>
      </c>
      <c r="AZ409" s="173"/>
      <c r="BA409" s="313"/>
      <c r="BB409" s="199">
        <f>AZ409-BA409</f>
        <v>0</v>
      </c>
      <c r="BC409" s="198"/>
      <c r="BD409" s="313"/>
      <c r="BE409" s="199">
        <f>BC409-BD409</f>
        <v>0</v>
      </c>
      <c r="BF409" s="198"/>
      <c r="BG409" s="241"/>
      <c r="BH409" s="199">
        <f>BF409-BG409</f>
        <v>0</v>
      </c>
      <c r="BI409" s="198"/>
      <c r="BJ409" s="241"/>
      <c r="BK409" s="199">
        <f>BI409-BJ409</f>
        <v>0</v>
      </c>
      <c r="BL409" s="313"/>
      <c r="BM409" s="313"/>
      <c r="BN409" s="195">
        <f>BL409-BM409</f>
        <v>0</v>
      </c>
      <c r="BO409" s="251">
        <v>0</v>
      </c>
      <c r="BP409" s="364"/>
      <c r="BQ409" s="364"/>
      <c r="BR409" s="364"/>
      <c r="BS409" s="249" t="str">
        <f>AG409 &amp; BO409</f>
        <v>Прочие собственные средства0</v>
      </c>
      <c r="BT409" s="364"/>
      <c r="BU409" s="364"/>
      <c r="BV409" s="364"/>
      <c r="BW409" s="364"/>
      <c r="BX409" s="364"/>
      <c r="BY409" s="249" t="str">
        <f>AG409&amp;AH409</f>
        <v>Прочие собственные средстванет</v>
      </c>
      <c r="BZ409" s="250"/>
    </row>
    <row r="410" spans="3:78" ht="15" customHeight="1">
      <c r="C410" s="306"/>
      <c r="D410" s="367"/>
      <c r="E410" s="370"/>
      <c r="F410" s="406"/>
      <c r="G410" s="376"/>
      <c r="H410" s="379"/>
      <c r="I410" s="382"/>
      <c r="J410" s="382"/>
      <c r="K410" s="385"/>
      <c r="L410" s="388"/>
      <c r="M410" s="391"/>
      <c r="N410" s="395"/>
      <c r="O410" s="398"/>
      <c r="P410" s="401"/>
      <c r="Q410" s="404"/>
      <c r="R410" s="363"/>
      <c r="S410" s="363"/>
      <c r="T410" s="363"/>
      <c r="U410" s="363"/>
      <c r="V410" s="363"/>
      <c r="W410" s="363"/>
      <c r="X410" s="363"/>
      <c r="Y410" s="363"/>
      <c r="Z410" s="363"/>
      <c r="AA410" s="363"/>
      <c r="AB410" s="363"/>
      <c r="AC410" s="363"/>
      <c r="AD410" s="363"/>
      <c r="AE410" s="279" t="s">
        <v>379</v>
      </c>
      <c r="AF410" s="203"/>
      <c r="AG410" s="223" t="s">
        <v>24</v>
      </c>
      <c r="AH410" s="223"/>
      <c r="AI410" s="223"/>
      <c r="AJ410" s="223"/>
      <c r="AK410" s="223"/>
      <c r="AL410" s="223"/>
      <c r="AM410" s="223"/>
      <c r="AN410" s="223"/>
      <c r="AO410" s="223"/>
      <c r="AP410" s="168"/>
      <c r="AQ410" s="169"/>
      <c r="AR410" s="169"/>
      <c r="AS410" s="169"/>
      <c r="AT410" s="169"/>
      <c r="AU410" s="169"/>
      <c r="AV410" s="169"/>
      <c r="AW410" s="169"/>
      <c r="AX410" s="169"/>
      <c r="AY410" s="169"/>
      <c r="AZ410" s="169"/>
      <c r="BA410" s="169"/>
      <c r="BB410" s="169"/>
      <c r="BC410" s="169"/>
      <c r="BD410" s="169"/>
      <c r="BE410" s="169"/>
      <c r="BF410" s="169"/>
      <c r="BG410" s="169"/>
      <c r="BH410" s="169"/>
      <c r="BI410" s="169"/>
      <c r="BJ410" s="169"/>
      <c r="BK410" s="169"/>
      <c r="BL410" s="169"/>
      <c r="BM410" s="169"/>
      <c r="BN410" s="170"/>
      <c r="BO410" s="251"/>
      <c r="BP410" s="364"/>
      <c r="BQ410" s="364"/>
      <c r="BR410" s="364"/>
      <c r="BS410" s="250"/>
      <c r="BT410" s="364"/>
      <c r="BU410" s="364"/>
      <c r="BV410" s="364"/>
      <c r="BW410" s="364"/>
      <c r="BX410" s="364"/>
      <c r="BY410" s="250"/>
    </row>
    <row r="411" spans="3:78" ht="15" customHeight="1" thickBot="1">
      <c r="C411" s="307"/>
      <c r="D411" s="368"/>
      <c r="E411" s="371"/>
      <c r="F411" s="407"/>
      <c r="G411" s="377"/>
      <c r="H411" s="380"/>
      <c r="I411" s="383"/>
      <c r="J411" s="383"/>
      <c r="K411" s="386"/>
      <c r="L411" s="389"/>
      <c r="M411" s="392"/>
      <c r="N411" s="280" t="s">
        <v>380</v>
      </c>
      <c r="O411" s="212"/>
      <c r="P411" s="365" t="s">
        <v>154</v>
      </c>
      <c r="Q411" s="365"/>
      <c r="R411" s="171"/>
      <c r="S411" s="171"/>
      <c r="T411" s="166"/>
      <c r="U411" s="166"/>
      <c r="V411" s="166"/>
      <c r="W411" s="166"/>
      <c r="X411" s="166"/>
      <c r="Y411" s="166"/>
      <c r="Z411" s="166"/>
      <c r="AA411" s="166"/>
      <c r="AB411" s="166"/>
      <c r="AC411" s="166"/>
      <c r="AD411" s="166"/>
      <c r="AE411" s="166"/>
      <c r="AF411" s="166"/>
      <c r="AG411" s="166"/>
      <c r="AH411" s="166"/>
      <c r="AI411" s="166"/>
      <c r="AJ411" s="166"/>
      <c r="AK411" s="166"/>
      <c r="AL411" s="166"/>
      <c r="AM411" s="166"/>
      <c r="AN411" s="166"/>
      <c r="AO411" s="166"/>
      <c r="AP411" s="166"/>
      <c r="AQ411" s="166"/>
      <c r="AR411" s="166"/>
      <c r="AS411" s="166"/>
      <c r="AT411" s="166"/>
      <c r="AU411" s="166"/>
      <c r="AV411" s="166"/>
      <c r="AW411" s="166"/>
      <c r="AX411" s="166"/>
      <c r="AY411" s="166"/>
      <c r="AZ411" s="166"/>
      <c r="BA411" s="166"/>
      <c r="BB411" s="166"/>
      <c r="BC411" s="166"/>
      <c r="BD411" s="166"/>
      <c r="BE411" s="166"/>
      <c r="BF411" s="166"/>
      <c r="BG411" s="166"/>
      <c r="BH411" s="166"/>
      <c r="BI411" s="166"/>
      <c r="BJ411" s="166"/>
      <c r="BK411" s="166"/>
      <c r="BL411" s="166"/>
      <c r="BM411" s="166"/>
      <c r="BN411" s="167"/>
      <c r="BO411" s="251"/>
      <c r="BP411" s="250"/>
      <c r="BQ411" s="250"/>
      <c r="BR411" s="250"/>
      <c r="BS411" s="250"/>
      <c r="BT411" s="250"/>
      <c r="BU411" s="250"/>
      <c r="BY411" s="250"/>
    </row>
    <row r="412" spans="3:78" ht="11.25" customHeight="1">
      <c r="C412" s="97" t="s">
        <v>1240</v>
      </c>
      <c r="D412" s="366" t="s">
        <v>1343</v>
      </c>
      <c r="E412" s="369" t="s">
        <v>199</v>
      </c>
      <c r="F412" s="405" t="s">
        <v>209</v>
      </c>
      <c r="G412" s="375" t="s">
        <v>1356</v>
      </c>
      <c r="H412" s="378" t="s">
        <v>715</v>
      </c>
      <c r="I412" s="381" t="s">
        <v>715</v>
      </c>
      <c r="J412" s="381" t="s">
        <v>716</v>
      </c>
      <c r="K412" s="384">
        <v>1</v>
      </c>
      <c r="L412" s="387" t="s">
        <v>4</v>
      </c>
      <c r="M412" s="390">
        <v>0</v>
      </c>
      <c r="N412" s="163"/>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161"/>
      <c r="AW412" s="161"/>
      <c r="AX412" s="161"/>
      <c r="AY412" s="161"/>
      <c r="AZ412" s="161"/>
      <c r="BA412" s="161"/>
      <c r="BB412" s="161"/>
      <c r="BC412" s="161"/>
      <c r="BD412" s="161"/>
      <c r="BE412" s="161"/>
      <c r="BF412" s="161"/>
      <c r="BG412" s="161"/>
      <c r="BH412" s="161"/>
      <c r="BI412" s="161"/>
      <c r="BJ412" s="161"/>
      <c r="BK412" s="161"/>
      <c r="BL412" s="161"/>
      <c r="BM412" s="161"/>
      <c r="BN412" s="162"/>
      <c r="BO412" s="251"/>
      <c r="BP412" s="250"/>
      <c r="BQ412" s="250"/>
      <c r="BR412" s="250"/>
      <c r="BS412" s="250"/>
      <c r="BT412" s="250"/>
      <c r="BU412" s="250"/>
      <c r="BY412" s="250"/>
    </row>
    <row r="413" spans="3:78" ht="11.25" customHeight="1">
      <c r="C413" s="306"/>
      <c r="D413" s="367"/>
      <c r="E413" s="370"/>
      <c r="F413" s="406"/>
      <c r="G413" s="376"/>
      <c r="H413" s="379"/>
      <c r="I413" s="382"/>
      <c r="J413" s="382"/>
      <c r="K413" s="385"/>
      <c r="L413" s="388"/>
      <c r="M413" s="391"/>
      <c r="N413" s="393"/>
      <c r="O413" s="396">
        <v>1</v>
      </c>
      <c r="P413" s="399" t="s">
        <v>1297</v>
      </c>
      <c r="Q413" s="402"/>
      <c r="R413" s="361" t="s">
        <v>154</v>
      </c>
      <c r="S413" s="361" t="s">
        <v>154</v>
      </c>
      <c r="T413" s="361" t="s">
        <v>154</v>
      </c>
      <c r="U413" s="361" t="s">
        <v>154</v>
      </c>
      <c r="V413" s="361" t="s">
        <v>154</v>
      </c>
      <c r="W413" s="361" t="s">
        <v>154</v>
      </c>
      <c r="X413" s="361" t="s">
        <v>154</v>
      </c>
      <c r="Y413" s="361" t="s">
        <v>154</v>
      </c>
      <c r="Z413" s="361" t="s">
        <v>154</v>
      </c>
      <c r="AA413" s="361" t="s">
        <v>154</v>
      </c>
      <c r="AB413" s="361" t="s">
        <v>154</v>
      </c>
      <c r="AC413" s="361" t="s">
        <v>154</v>
      </c>
      <c r="AD413" s="361" t="s">
        <v>154</v>
      </c>
      <c r="AE413" s="209"/>
      <c r="AF413" s="220">
        <v>0</v>
      </c>
      <c r="AG413" s="219" t="s">
        <v>308</v>
      </c>
      <c r="AH413" s="219"/>
      <c r="AI413" s="219"/>
      <c r="AJ413" s="219"/>
      <c r="AK413" s="219"/>
      <c r="AL413" s="219"/>
      <c r="AM413" s="219"/>
      <c r="AN413" s="219"/>
      <c r="AO413" s="219"/>
      <c r="AP413" s="164"/>
      <c r="AQ413" s="164"/>
      <c r="AR413" s="164"/>
      <c r="AS413" s="164"/>
      <c r="AT413" s="164"/>
      <c r="AU413" s="164"/>
      <c r="AV413" s="164"/>
      <c r="AW413" s="164"/>
      <c r="AX413" s="164"/>
      <c r="AY413" s="164"/>
      <c r="AZ413" s="164"/>
      <c r="BA413" s="164"/>
      <c r="BB413" s="164"/>
      <c r="BC413" s="164"/>
      <c r="BD413" s="164"/>
      <c r="BE413" s="164"/>
      <c r="BF413" s="164"/>
      <c r="BG413" s="164"/>
      <c r="BH413" s="164"/>
      <c r="BI413" s="164"/>
      <c r="BJ413" s="164"/>
      <c r="BK413" s="164"/>
      <c r="BL413" s="164"/>
      <c r="BM413" s="164"/>
      <c r="BN413" s="165"/>
      <c r="BO413" s="251"/>
      <c r="BP413" s="364" t="s">
        <v>1298</v>
      </c>
      <c r="BQ413" s="364" t="s">
        <v>1298</v>
      </c>
      <c r="BR413" s="364" t="s">
        <v>1298</v>
      </c>
      <c r="BS413" s="250"/>
      <c r="BT413" s="364" t="s">
        <v>1298</v>
      </c>
      <c r="BU413" s="364" t="s">
        <v>1298</v>
      </c>
      <c r="BV413" s="364" t="s">
        <v>1298</v>
      </c>
      <c r="BW413" s="364" t="s">
        <v>1298</v>
      </c>
      <c r="BX413" s="364" t="s">
        <v>1298</v>
      </c>
      <c r="BY413" s="250"/>
    </row>
    <row r="414" spans="3:78" ht="14.25">
      <c r="C414" s="306"/>
      <c r="D414" s="367"/>
      <c r="E414" s="370"/>
      <c r="F414" s="406"/>
      <c r="G414" s="376"/>
      <c r="H414" s="379"/>
      <c r="I414" s="382"/>
      <c r="J414" s="382"/>
      <c r="K414" s="385"/>
      <c r="L414" s="388"/>
      <c r="M414" s="391"/>
      <c r="N414" s="394"/>
      <c r="O414" s="397"/>
      <c r="P414" s="400"/>
      <c r="Q414" s="403"/>
      <c r="R414" s="362"/>
      <c r="S414" s="362"/>
      <c r="T414" s="362"/>
      <c r="U414" s="362"/>
      <c r="V414" s="362"/>
      <c r="W414" s="362"/>
      <c r="X414" s="362"/>
      <c r="Y414" s="362"/>
      <c r="Z414" s="362"/>
      <c r="AA414" s="362"/>
      <c r="AB414" s="362"/>
      <c r="AC414" s="362"/>
      <c r="AD414" s="362"/>
      <c r="AE414" s="193"/>
      <c r="AF414" s="217" t="s">
        <v>268</v>
      </c>
      <c r="AG414" s="158" t="s">
        <v>221</v>
      </c>
      <c r="AH414" s="300" t="s">
        <v>19</v>
      </c>
      <c r="AI414" s="301" t="s">
        <v>154</v>
      </c>
      <c r="AJ414" s="221"/>
      <c r="AK414" s="221"/>
      <c r="AL414" s="221"/>
      <c r="AM414" s="221"/>
      <c r="AN414" s="221"/>
      <c r="AO414" s="221"/>
      <c r="AP414" s="302" t="s">
        <v>19</v>
      </c>
      <c r="AQ414" s="195">
        <f>SUM(AT414,AW414,AZ414,BC414,BF414,BI414,BL414)</f>
        <v>2036.8759554796252</v>
      </c>
      <c r="AR414" s="197">
        <f>SUM(AT414,AX414,BA414,BD414,BG414,BJ414,BM414)</f>
        <v>0</v>
      </c>
      <c r="AS414" s="195">
        <f>AQ414-AR414</f>
        <v>2036.8759554796252</v>
      </c>
      <c r="AT414" s="312"/>
      <c r="AU414" s="312"/>
      <c r="AV414" s="244"/>
      <c r="AW414" s="159"/>
      <c r="AX414" s="312"/>
      <c r="AY414" s="194">
        <f>AW414-AX414</f>
        <v>0</v>
      </c>
      <c r="AZ414" s="160">
        <v>2036.8759554796252</v>
      </c>
      <c r="BA414" s="312"/>
      <c r="BB414" s="194">
        <f>AZ414-BA414</f>
        <v>2036.8759554796252</v>
      </c>
      <c r="BC414" s="159"/>
      <c r="BD414" s="312"/>
      <c r="BE414" s="194">
        <f>BC414-BD414</f>
        <v>0</v>
      </c>
      <c r="BF414" s="159"/>
      <c r="BG414" s="244"/>
      <c r="BH414" s="194">
        <f>BF414-BG414</f>
        <v>0</v>
      </c>
      <c r="BI414" s="159"/>
      <c r="BJ414" s="244"/>
      <c r="BK414" s="194">
        <f>BI414-BJ414</f>
        <v>0</v>
      </c>
      <c r="BL414" s="312"/>
      <c r="BM414" s="312"/>
      <c r="BN414" s="195">
        <f>BL414-BM414</f>
        <v>0</v>
      </c>
      <c r="BO414" s="251">
        <v>0</v>
      </c>
      <c r="BP414" s="364"/>
      <c r="BQ414" s="364"/>
      <c r="BR414" s="364"/>
      <c r="BS414" s="249" t="str">
        <f>AG414 &amp; BO414</f>
        <v>Амортизационные отчисления0</v>
      </c>
      <c r="BT414" s="364"/>
      <c r="BU414" s="364"/>
      <c r="BV414" s="364"/>
      <c r="BW414" s="364"/>
      <c r="BX414" s="364"/>
      <c r="BY414" s="249" t="str">
        <f>AG414&amp;AH414</f>
        <v>Амортизационные отчислениянет</v>
      </c>
      <c r="BZ414" s="250"/>
    </row>
    <row r="415" spans="3:78" ht="14.25">
      <c r="C415" s="97"/>
      <c r="D415" s="367"/>
      <c r="E415" s="370"/>
      <c r="F415" s="406"/>
      <c r="G415" s="376"/>
      <c r="H415" s="379"/>
      <c r="I415" s="382"/>
      <c r="J415" s="382"/>
      <c r="K415" s="385"/>
      <c r="L415" s="388"/>
      <c r="M415" s="391"/>
      <c r="N415" s="394"/>
      <c r="O415" s="397"/>
      <c r="P415" s="400"/>
      <c r="Q415" s="403"/>
      <c r="R415" s="362"/>
      <c r="S415" s="362"/>
      <c r="T415" s="362"/>
      <c r="U415" s="362"/>
      <c r="V415" s="362"/>
      <c r="W415" s="362"/>
      <c r="X415" s="362"/>
      <c r="Y415" s="362"/>
      <c r="Z415" s="362"/>
      <c r="AA415" s="362"/>
      <c r="AB415" s="362"/>
      <c r="AC415" s="362"/>
      <c r="AD415" s="362"/>
      <c r="AE415" s="322" t="s">
        <v>1240</v>
      </c>
      <c r="AF415" s="217" t="s">
        <v>118</v>
      </c>
      <c r="AG415" s="196" t="s">
        <v>223</v>
      </c>
      <c r="AH415" s="302" t="s">
        <v>19</v>
      </c>
      <c r="AI415" s="301" t="s">
        <v>154</v>
      </c>
      <c r="AJ415" s="221"/>
      <c r="AK415" s="221"/>
      <c r="AL415" s="221"/>
      <c r="AM415" s="221"/>
      <c r="AN415" s="221"/>
      <c r="AO415" s="221"/>
      <c r="AP415" s="302" t="s">
        <v>19</v>
      </c>
      <c r="AQ415" s="195">
        <f>SUM(AT415,AW415,AZ415,BC415,BF415,BI415,BL415)</f>
        <v>407.37519109592495</v>
      </c>
      <c r="AR415" s="197">
        <f>SUM(AT415,AX415,BA415,BD415,BG415,BJ415,BM415)</f>
        <v>0</v>
      </c>
      <c r="AS415" s="195">
        <f>AQ415-AR415</f>
        <v>407.37519109592495</v>
      </c>
      <c r="AT415" s="315"/>
      <c r="AU415" s="315"/>
      <c r="AV415" s="241"/>
      <c r="AW415" s="198"/>
      <c r="AX415" s="313"/>
      <c r="AY415" s="199">
        <f>AW415-AX415</f>
        <v>0</v>
      </c>
      <c r="AZ415" s="173">
        <f>2444.25114657555-AZ414</f>
        <v>407.37519109592495</v>
      </c>
      <c r="BA415" s="313"/>
      <c r="BB415" s="199">
        <f>AZ415-BA415</f>
        <v>407.37519109592495</v>
      </c>
      <c r="BC415" s="198"/>
      <c r="BD415" s="313"/>
      <c r="BE415" s="199">
        <f>BC415-BD415</f>
        <v>0</v>
      </c>
      <c r="BF415" s="198"/>
      <c r="BG415" s="241"/>
      <c r="BH415" s="199">
        <f>BF415-BG415</f>
        <v>0</v>
      </c>
      <c r="BI415" s="198"/>
      <c r="BJ415" s="241"/>
      <c r="BK415" s="199">
        <f>BI415-BJ415</f>
        <v>0</v>
      </c>
      <c r="BL415" s="313"/>
      <c r="BM415" s="313"/>
      <c r="BN415" s="195">
        <f>BL415-BM415</f>
        <v>0</v>
      </c>
      <c r="BO415" s="251">
        <v>0</v>
      </c>
      <c r="BP415" s="364"/>
      <c r="BQ415" s="364"/>
      <c r="BR415" s="364"/>
      <c r="BS415" s="249" t="str">
        <f>AG415 &amp; BO415</f>
        <v>Прочие собственные средства0</v>
      </c>
      <c r="BT415" s="364"/>
      <c r="BU415" s="364"/>
      <c r="BV415" s="364"/>
      <c r="BW415" s="364"/>
      <c r="BX415" s="364"/>
      <c r="BY415" s="249" t="str">
        <f>AG415&amp;AH415</f>
        <v>Прочие собственные средстванет</v>
      </c>
      <c r="BZ415" s="250"/>
    </row>
    <row r="416" spans="3:78" ht="15" customHeight="1">
      <c r="C416" s="306"/>
      <c r="D416" s="367"/>
      <c r="E416" s="370"/>
      <c r="F416" s="406"/>
      <c r="G416" s="376"/>
      <c r="H416" s="379"/>
      <c r="I416" s="382"/>
      <c r="J416" s="382"/>
      <c r="K416" s="385"/>
      <c r="L416" s="388"/>
      <c r="M416" s="391"/>
      <c r="N416" s="395"/>
      <c r="O416" s="398"/>
      <c r="P416" s="401"/>
      <c r="Q416" s="404"/>
      <c r="R416" s="363"/>
      <c r="S416" s="363"/>
      <c r="T416" s="363"/>
      <c r="U416" s="363"/>
      <c r="V416" s="363"/>
      <c r="W416" s="363"/>
      <c r="X416" s="363"/>
      <c r="Y416" s="363"/>
      <c r="Z416" s="363"/>
      <c r="AA416" s="363"/>
      <c r="AB416" s="363"/>
      <c r="AC416" s="363"/>
      <c r="AD416" s="363"/>
      <c r="AE416" s="279" t="s">
        <v>379</v>
      </c>
      <c r="AF416" s="203"/>
      <c r="AG416" s="223" t="s">
        <v>24</v>
      </c>
      <c r="AH416" s="223"/>
      <c r="AI416" s="223"/>
      <c r="AJ416" s="223"/>
      <c r="AK416" s="223"/>
      <c r="AL416" s="223"/>
      <c r="AM416" s="223"/>
      <c r="AN416" s="223"/>
      <c r="AO416" s="223"/>
      <c r="AP416" s="168"/>
      <c r="AQ416" s="169"/>
      <c r="AR416" s="169"/>
      <c r="AS416" s="169"/>
      <c r="AT416" s="169"/>
      <c r="AU416" s="169"/>
      <c r="AV416" s="169"/>
      <c r="AW416" s="169"/>
      <c r="AX416" s="169"/>
      <c r="AY416" s="169"/>
      <c r="AZ416" s="169"/>
      <c r="BA416" s="169"/>
      <c r="BB416" s="169"/>
      <c r="BC416" s="169"/>
      <c r="BD416" s="169"/>
      <c r="BE416" s="169"/>
      <c r="BF416" s="169"/>
      <c r="BG416" s="169"/>
      <c r="BH416" s="169"/>
      <c r="BI416" s="169"/>
      <c r="BJ416" s="169"/>
      <c r="BK416" s="169"/>
      <c r="BL416" s="169"/>
      <c r="BM416" s="169"/>
      <c r="BN416" s="170"/>
      <c r="BO416" s="251"/>
      <c r="BP416" s="364"/>
      <c r="BQ416" s="364"/>
      <c r="BR416" s="364"/>
      <c r="BS416" s="250"/>
      <c r="BT416" s="364"/>
      <c r="BU416" s="364"/>
      <c r="BV416" s="364"/>
      <c r="BW416" s="364"/>
      <c r="BX416" s="364"/>
      <c r="BY416" s="250"/>
    </row>
    <row r="417" spans="3:78" ht="15" customHeight="1" thickBot="1">
      <c r="C417" s="307"/>
      <c r="D417" s="368"/>
      <c r="E417" s="371"/>
      <c r="F417" s="407"/>
      <c r="G417" s="377"/>
      <c r="H417" s="380"/>
      <c r="I417" s="383"/>
      <c r="J417" s="383"/>
      <c r="K417" s="386"/>
      <c r="L417" s="389"/>
      <c r="M417" s="392"/>
      <c r="N417" s="280" t="s">
        <v>380</v>
      </c>
      <c r="O417" s="212"/>
      <c r="P417" s="365" t="s">
        <v>154</v>
      </c>
      <c r="Q417" s="365"/>
      <c r="R417" s="171"/>
      <c r="S417" s="171"/>
      <c r="T417" s="166"/>
      <c r="U417" s="166"/>
      <c r="V417" s="166"/>
      <c r="W417" s="166"/>
      <c r="X417" s="166"/>
      <c r="Y417" s="166"/>
      <c r="Z417" s="166"/>
      <c r="AA417" s="166"/>
      <c r="AB417" s="166"/>
      <c r="AC417" s="166"/>
      <c r="AD417" s="166"/>
      <c r="AE417" s="166"/>
      <c r="AF417" s="166"/>
      <c r="AG417" s="166"/>
      <c r="AH417" s="166"/>
      <c r="AI417" s="166"/>
      <c r="AJ417" s="166"/>
      <c r="AK417" s="166"/>
      <c r="AL417" s="166"/>
      <c r="AM417" s="166"/>
      <c r="AN417" s="166"/>
      <c r="AO417" s="166"/>
      <c r="AP417" s="166"/>
      <c r="AQ417" s="166"/>
      <c r="AR417" s="166"/>
      <c r="AS417" s="166"/>
      <c r="AT417" s="166"/>
      <c r="AU417" s="166"/>
      <c r="AV417" s="166"/>
      <c r="AW417" s="166"/>
      <c r="AX417" s="166"/>
      <c r="AY417" s="166"/>
      <c r="AZ417" s="166"/>
      <c r="BA417" s="166"/>
      <c r="BB417" s="166"/>
      <c r="BC417" s="166"/>
      <c r="BD417" s="166"/>
      <c r="BE417" s="166"/>
      <c r="BF417" s="166"/>
      <c r="BG417" s="166"/>
      <c r="BH417" s="166"/>
      <c r="BI417" s="166"/>
      <c r="BJ417" s="166"/>
      <c r="BK417" s="166"/>
      <c r="BL417" s="166"/>
      <c r="BM417" s="166"/>
      <c r="BN417" s="167"/>
      <c r="BO417" s="251"/>
      <c r="BP417" s="250"/>
      <c r="BQ417" s="250"/>
      <c r="BR417" s="250"/>
      <c r="BS417" s="250"/>
      <c r="BT417" s="250"/>
      <c r="BU417" s="250"/>
      <c r="BY417" s="250"/>
    </row>
    <row r="418" spans="3:78" ht="11.25" customHeight="1">
      <c r="C418" s="97" t="s">
        <v>1240</v>
      </c>
      <c r="D418" s="366" t="s">
        <v>1344</v>
      </c>
      <c r="E418" s="369" t="s">
        <v>199</v>
      </c>
      <c r="F418" s="405" t="s">
        <v>209</v>
      </c>
      <c r="G418" s="375" t="s">
        <v>1357</v>
      </c>
      <c r="H418" s="378" t="s">
        <v>715</v>
      </c>
      <c r="I418" s="381" t="s">
        <v>715</v>
      </c>
      <c r="J418" s="381" t="s">
        <v>716</v>
      </c>
      <c r="K418" s="384">
        <v>1</v>
      </c>
      <c r="L418" s="387" t="s">
        <v>4</v>
      </c>
      <c r="M418" s="390">
        <v>0</v>
      </c>
      <c r="N418" s="163"/>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c r="AO418" s="161"/>
      <c r="AP418" s="161"/>
      <c r="AQ418" s="161"/>
      <c r="AR418" s="161"/>
      <c r="AS418" s="161"/>
      <c r="AT418" s="161"/>
      <c r="AU418" s="161"/>
      <c r="AV418" s="161"/>
      <c r="AW418" s="161"/>
      <c r="AX418" s="161"/>
      <c r="AY418" s="161"/>
      <c r="AZ418" s="161"/>
      <c r="BA418" s="161"/>
      <c r="BB418" s="161"/>
      <c r="BC418" s="161"/>
      <c r="BD418" s="161"/>
      <c r="BE418" s="161"/>
      <c r="BF418" s="161"/>
      <c r="BG418" s="161"/>
      <c r="BH418" s="161"/>
      <c r="BI418" s="161"/>
      <c r="BJ418" s="161"/>
      <c r="BK418" s="161"/>
      <c r="BL418" s="161"/>
      <c r="BM418" s="161"/>
      <c r="BN418" s="162"/>
      <c r="BO418" s="251"/>
      <c r="BP418" s="250"/>
      <c r="BQ418" s="250"/>
      <c r="BR418" s="250"/>
      <c r="BS418" s="250"/>
      <c r="BT418" s="250"/>
      <c r="BU418" s="250"/>
      <c r="BY418" s="250"/>
    </row>
    <row r="419" spans="3:78" ht="11.25" customHeight="1">
      <c r="C419" s="306"/>
      <c r="D419" s="367"/>
      <c r="E419" s="370"/>
      <c r="F419" s="406"/>
      <c r="G419" s="376"/>
      <c r="H419" s="379"/>
      <c r="I419" s="382"/>
      <c r="J419" s="382"/>
      <c r="K419" s="385"/>
      <c r="L419" s="388"/>
      <c r="M419" s="391"/>
      <c r="N419" s="393"/>
      <c r="O419" s="396">
        <v>1</v>
      </c>
      <c r="P419" s="399" t="s">
        <v>1297</v>
      </c>
      <c r="Q419" s="402"/>
      <c r="R419" s="361" t="s">
        <v>154</v>
      </c>
      <c r="S419" s="361" t="s">
        <v>154</v>
      </c>
      <c r="T419" s="361" t="s">
        <v>154</v>
      </c>
      <c r="U419" s="361" t="s">
        <v>154</v>
      </c>
      <c r="V419" s="361" t="s">
        <v>154</v>
      </c>
      <c r="W419" s="361" t="s">
        <v>154</v>
      </c>
      <c r="X419" s="361" t="s">
        <v>154</v>
      </c>
      <c r="Y419" s="361" t="s">
        <v>154</v>
      </c>
      <c r="Z419" s="361" t="s">
        <v>154</v>
      </c>
      <c r="AA419" s="361" t="s">
        <v>154</v>
      </c>
      <c r="AB419" s="361" t="s">
        <v>154</v>
      </c>
      <c r="AC419" s="361" t="s">
        <v>154</v>
      </c>
      <c r="AD419" s="361" t="s">
        <v>154</v>
      </c>
      <c r="AE419" s="209"/>
      <c r="AF419" s="220">
        <v>0</v>
      </c>
      <c r="AG419" s="219" t="s">
        <v>308</v>
      </c>
      <c r="AH419" s="219"/>
      <c r="AI419" s="219"/>
      <c r="AJ419" s="219"/>
      <c r="AK419" s="219"/>
      <c r="AL419" s="219"/>
      <c r="AM419" s="219"/>
      <c r="AN419" s="219"/>
      <c r="AO419" s="219"/>
      <c r="AP419" s="164"/>
      <c r="AQ419" s="164"/>
      <c r="AR419" s="164"/>
      <c r="AS419" s="164"/>
      <c r="AT419" s="164"/>
      <c r="AU419" s="164"/>
      <c r="AV419" s="164"/>
      <c r="AW419" s="164"/>
      <c r="AX419" s="164"/>
      <c r="AY419" s="164"/>
      <c r="AZ419" s="164"/>
      <c r="BA419" s="164"/>
      <c r="BB419" s="164"/>
      <c r="BC419" s="164"/>
      <c r="BD419" s="164"/>
      <c r="BE419" s="164"/>
      <c r="BF419" s="164"/>
      <c r="BG419" s="164"/>
      <c r="BH419" s="164"/>
      <c r="BI419" s="164"/>
      <c r="BJ419" s="164"/>
      <c r="BK419" s="164"/>
      <c r="BL419" s="164"/>
      <c r="BM419" s="164"/>
      <c r="BN419" s="165"/>
      <c r="BO419" s="251"/>
      <c r="BP419" s="364" t="s">
        <v>1298</v>
      </c>
      <c r="BQ419" s="364" t="s">
        <v>1298</v>
      </c>
      <c r="BR419" s="364" t="s">
        <v>1298</v>
      </c>
      <c r="BS419" s="250"/>
      <c r="BT419" s="364" t="s">
        <v>1298</v>
      </c>
      <c r="BU419" s="364" t="s">
        <v>1298</v>
      </c>
      <c r="BV419" s="364" t="s">
        <v>1298</v>
      </c>
      <c r="BW419" s="364" t="s">
        <v>1298</v>
      </c>
      <c r="BX419" s="364" t="s">
        <v>1298</v>
      </c>
      <c r="BY419" s="250"/>
    </row>
    <row r="420" spans="3:78" ht="14.25">
      <c r="C420" s="306"/>
      <c r="D420" s="367"/>
      <c r="E420" s="370"/>
      <c r="F420" s="406"/>
      <c r="G420" s="376"/>
      <c r="H420" s="379"/>
      <c r="I420" s="382"/>
      <c r="J420" s="382"/>
      <c r="K420" s="385"/>
      <c r="L420" s="388"/>
      <c r="M420" s="391"/>
      <c r="N420" s="394"/>
      <c r="O420" s="397"/>
      <c r="P420" s="400"/>
      <c r="Q420" s="403"/>
      <c r="R420" s="362"/>
      <c r="S420" s="362"/>
      <c r="T420" s="362"/>
      <c r="U420" s="362"/>
      <c r="V420" s="362"/>
      <c r="W420" s="362"/>
      <c r="X420" s="362"/>
      <c r="Y420" s="362"/>
      <c r="Z420" s="362"/>
      <c r="AA420" s="362"/>
      <c r="AB420" s="362"/>
      <c r="AC420" s="362"/>
      <c r="AD420" s="362"/>
      <c r="AE420" s="193"/>
      <c r="AF420" s="217" t="s">
        <v>268</v>
      </c>
      <c r="AG420" s="158" t="s">
        <v>221</v>
      </c>
      <c r="AH420" s="300" t="s">
        <v>19</v>
      </c>
      <c r="AI420" s="301" t="s">
        <v>154</v>
      </c>
      <c r="AJ420" s="221"/>
      <c r="AK420" s="221"/>
      <c r="AL420" s="221"/>
      <c r="AM420" s="221"/>
      <c r="AN420" s="221"/>
      <c r="AO420" s="221"/>
      <c r="AP420" s="302" t="s">
        <v>19</v>
      </c>
      <c r="AQ420" s="195">
        <f>SUM(AT420,AW420,AZ420,BC420,BF420,BI420,BL420)</f>
        <v>1697.912237098875</v>
      </c>
      <c r="AR420" s="197">
        <f>SUM(AT420,AX420,BA420,BD420,BG420,BJ420,BM420)</f>
        <v>0</v>
      </c>
      <c r="AS420" s="195">
        <f>AQ420-AR420</f>
        <v>1697.912237098875</v>
      </c>
      <c r="AT420" s="312"/>
      <c r="AU420" s="312"/>
      <c r="AV420" s="244"/>
      <c r="AW420" s="159"/>
      <c r="AX420" s="312"/>
      <c r="AY420" s="194">
        <f>AW420-AX420</f>
        <v>0</v>
      </c>
      <c r="AZ420" s="160">
        <v>1697.912237098875</v>
      </c>
      <c r="BA420" s="312"/>
      <c r="BB420" s="194">
        <f>AZ420-BA420</f>
        <v>1697.912237098875</v>
      </c>
      <c r="BC420" s="159"/>
      <c r="BD420" s="312"/>
      <c r="BE420" s="194">
        <f>BC420-BD420</f>
        <v>0</v>
      </c>
      <c r="BF420" s="159"/>
      <c r="BG420" s="244"/>
      <c r="BH420" s="194">
        <f>BF420-BG420</f>
        <v>0</v>
      </c>
      <c r="BI420" s="159"/>
      <c r="BJ420" s="244"/>
      <c r="BK420" s="194">
        <f>BI420-BJ420</f>
        <v>0</v>
      </c>
      <c r="BL420" s="312"/>
      <c r="BM420" s="312"/>
      <c r="BN420" s="195">
        <f>BL420-BM420</f>
        <v>0</v>
      </c>
      <c r="BO420" s="251">
        <v>0</v>
      </c>
      <c r="BP420" s="364"/>
      <c r="BQ420" s="364"/>
      <c r="BR420" s="364"/>
      <c r="BS420" s="249" t="str">
        <f>AG420 &amp; BO420</f>
        <v>Амортизационные отчисления0</v>
      </c>
      <c r="BT420" s="364"/>
      <c r="BU420" s="364"/>
      <c r="BV420" s="364"/>
      <c r="BW420" s="364"/>
      <c r="BX420" s="364"/>
      <c r="BY420" s="249" t="str">
        <f>AG420&amp;AH420</f>
        <v>Амортизационные отчислениянет</v>
      </c>
      <c r="BZ420" s="250"/>
    </row>
    <row r="421" spans="3:78" ht="14.25">
      <c r="C421" s="97"/>
      <c r="D421" s="367"/>
      <c r="E421" s="370"/>
      <c r="F421" s="406"/>
      <c r="G421" s="376"/>
      <c r="H421" s="379"/>
      <c r="I421" s="382"/>
      <c r="J421" s="382"/>
      <c r="K421" s="385"/>
      <c r="L421" s="388"/>
      <c r="M421" s="391"/>
      <c r="N421" s="394"/>
      <c r="O421" s="397"/>
      <c r="P421" s="400"/>
      <c r="Q421" s="403"/>
      <c r="R421" s="362"/>
      <c r="S421" s="362"/>
      <c r="T421" s="362"/>
      <c r="U421" s="362"/>
      <c r="V421" s="362"/>
      <c r="W421" s="362"/>
      <c r="X421" s="362"/>
      <c r="Y421" s="362"/>
      <c r="Z421" s="362"/>
      <c r="AA421" s="362"/>
      <c r="AB421" s="362"/>
      <c r="AC421" s="362"/>
      <c r="AD421" s="362"/>
      <c r="AE421" s="322" t="s">
        <v>1240</v>
      </c>
      <c r="AF421" s="217" t="s">
        <v>118</v>
      </c>
      <c r="AG421" s="196" t="s">
        <v>223</v>
      </c>
      <c r="AH421" s="302" t="s">
        <v>19</v>
      </c>
      <c r="AI421" s="301" t="s">
        <v>154</v>
      </c>
      <c r="AJ421" s="221"/>
      <c r="AK421" s="221"/>
      <c r="AL421" s="221"/>
      <c r="AM421" s="221"/>
      <c r="AN421" s="221"/>
      <c r="AO421" s="221"/>
      <c r="AP421" s="302" t="s">
        <v>19</v>
      </c>
      <c r="AQ421" s="195">
        <f>SUM(AT421,AW421,AZ421,BC421,BF421,BI421,BL421)</f>
        <v>339.58244741977501</v>
      </c>
      <c r="AR421" s="197">
        <f>SUM(AT421,AX421,BA421,BD421,BG421,BJ421,BM421)</f>
        <v>0</v>
      </c>
      <c r="AS421" s="195">
        <f>AQ421-AR421</f>
        <v>339.58244741977501</v>
      </c>
      <c r="AT421" s="315"/>
      <c r="AU421" s="315"/>
      <c r="AV421" s="241"/>
      <c r="AW421" s="198"/>
      <c r="AX421" s="313"/>
      <c r="AY421" s="199">
        <f>AW421-AX421</f>
        <v>0</v>
      </c>
      <c r="AZ421" s="173">
        <f>2037.49468451865-AZ420</f>
        <v>339.58244741977501</v>
      </c>
      <c r="BA421" s="313"/>
      <c r="BB421" s="199">
        <f>AZ421-BA421</f>
        <v>339.58244741977501</v>
      </c>
      <c r="BC421" s="198"/>
      <c r="BD421" s="313"/>
      <c r="BE421" s="199">
        <f>BC421-BD421</f>
        <v>0</v>
      </c>
      <c r="BF421" s="198"/>
      <c r="BG421" s="241"/>
      <c r="BH421" s="199">
        <f>BF421-BG421</f>
        <v>0</v>
      </c>
      <c r="BI421" s="198"/>
      <c r="BJ421" s="241"/>
      <c r="BK421" s="199">
        <f>BI421-BJ421</f>
        <v>0</v>
      </c>
      <c r="BL421" s="313"/>
      <c r="BM421" s="313"/>
      <c r="BN421" s="195">
        <f>BL421-BM421</f>
        <v>0</v>
      </c>
      <c r="BO421" s="251">
        <v>0</v>
      </c>
      <c r="BP421" s="364"/>
      <c r="BQ421" s="364"/>
      <c r="BR421" s="364"/>
      <c r="BS421" s="249" t="str">
        <f>AG421 &amp; BO421</f>
        <v>Прочие собственные средства0</v>
      </c>
      <c r="BT421" s="364"/>
      <c r="BU421" s="364"/>
      <c r="BV421" s="364"/>
      <c r="BW421" s="364"/>
      <c r="BX421" s="364"/>
      <c r="BY421" s="249" t="str">
        <f>AG421&amp;AH421</f>
        <v>Прочие собственные средстванет</v>
      </c>
      <c r="BZ421" s="250"/>
    </row>
    <row r="422" spans="3:78" ht="15" customHeight="1">
      <c r="C422" s="306"/>
      <c r="D422" s="367"/>
      <c r="E422" s="370"/>
      <c r="F422" s="406"/>
      <c r="G422" s="376"/>
      <c r="H422" s="379"/>
      <c r="I422" s="382"/>
      <c r="J422" s="382"/>
      <c r="K422" s="385"/>
      <c r="L422" s="388"/>
      <c r="M422" s="391"/>
      <c r="N422" s="395"/>
      <c r="O422" s="398"/>
      <c r="P422" s="401"/>
      <c r="Q422" s="404"/>
      <c r="R422" s="363"/>
      <c r="S422" s="363"/>
      <c r="T422" s="363"/>
      <c r="U422" s="363"/>
      <c r="V422" s="363"/>
      <c r="W422" s="363"/>
      <c r="X422" s="363"/>
      <c r="Y422" s="363"/>
      <c r="Z422" s="363"/>
      <c r="AA422" s="363"/>
      <c r="AB422" s="363"/>
      <c r="AC422" s="363"/>
      <c r="AD422" s="363"/>
      <c r="AE422" s="279" t="s">
        <v>379</v>
      </c>
      <c r="AF422" s="203"/>
      <c r="AG422" s="223" t="s">
        <v>24</v>
      </c>
      <c r="AH422" s="223"/>
      <c r="AI422" s="223"/>
      <c r="AJ422" s="223"/>
      <c r="AK422" s="223"/>
      <c r="AL422" s="223"/>
      <c r="AM422" s="223"/>
      <c r="AN422" s="223"/>
      <c r="AO422" s="223"/>
      <c r="AP422" s="168"/>
      <c r="AQ422" s="169"/>
      <c r="AR422" s="169"/>
      <c r="AS422" s="169"/>
      <c r="AT422" s="169"/>
      <c r="AU422" s="169"/>
      <c r="AV422" s="169"/>
      <c r="AW422" s="169"/>
      <c r="AX422" s="169"/>
      <c r="AY422" s="169"/>
      <c r="AZ422" s="169"/>
      <c r="BA422" s="169"/>
      <c r="BB422" s="169"/>
      <c r="BC422" s="169"/>
      <c r="BD422" s="169"/>
      <c r="BE422" s="169"/>
      <c r="BF422" s="169"/>
      <c r="BG422" s="169"/>
      <c r="BH422" s="169"/>
      <c r="BI422" s="169"/>
      <c r="BJ422" s="169"/>
      <c r="BK422" s="169"/>
      <c r="BL422" s="169"/>
      <c r="BM422" s="169"/>
      <c r="BN422" s="170"/>
      <c r="BO422" s="251"/>
      <c r="BP422" s="364"/>
      <c r="BQ422" s="364"/>
      <c r="BR422" s="364"/>
      <c r="BS422" s="250"/>
      <c r="BT422" s="364"/>
      <c r="BU422" s="364"/>
      <c r="BV422" s="364"/>
      <c r="BW422" s="364"/>
      <c r="BX422" s="364"/>
      <c r="BY422" s="250"/>
    </row>
    <row r="423" spans="3:78" ht="15" customHeight="1" thickBot="1">
      <c r="C423" s="307"/>
      <c r="D423" s="368"/>
      <c r="E423" s="371"/>
      <c r="F423" s="407"/>
      <c r="G423" s="377"/>
      <c r="H423" s="380"/>
      <c r="I423" s="383"/>
      <c r="J423" s="383"/>
      <c r="K423" s="386"/>
      <c r="L423" s="389"/>
      <c r="M423" s="392"/>
      <c r="N423" s="280" t="s">
        <v>380</v>
      </c>
      <c r="O423" s="212"/>
      <c r="P423" s="365" t="s">
        <v>154</v>
      </c>
      <c r="Q423" s="365"/>
      <c r="R423" s="171"/>
      <c r="S423" s="171"/>
      <c r="T423" s="166"/>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c r="BC423" s="166"/>
      <c r="BD423" s="166"/>
      <c r="BE423" s="166"/>
      <c r="BF423" s="166"/>
      <c r="BG423" s="166"/>
      <c r="BH423" s="166"/>
      <c r="BI423" s="166"/>
      <c r="BJ423" s="166"/>
      <c r="BK423" s="166"/>
      <c r="BL423" s="166"/>
      <c r="BM423" s="166"/>
      <c r="BN423" s="167"/>
      <c r="BO423" s="251"/>
      <c r="BP423" s="250"/>
      <c r="BQ423" s="250"/>
      <c r="BR423" s="250"/>
      <c r="BS423" s="250"/>
      <c r="BT423" s="250"/>
      <c r="BU423" s="250"/>
      <c r="BY423" s="250"/>
    </row>
    <row r="424" spans="3:78" ht="11.25" customHeight="1">
      <c r="C424" s="97" t="s">
        <v>1240</v>
      </c>
      <c r="D424" s="366" t="s">
        <v>1345</v>
      </c>
      <c r="E424" s="369" t="s">
        <v>199</v>
      </c>
      <c r="F424" s="405" t="s">
        <v>209</v>
      </c>
      <c r="G424" s="375" t="s">
        <v>1358</v>
      </c>
      <c r="H424" s="378" t="s">
        <v>715</v>
      </c>
      <c r="I424" s="381" t="s">
        <v>715</v>
      </c>
      <c r="J424" s="381" t="s">
        <v>716</v>
      </c>
      <c r="K424" s="384">
        <v>1</v>
      </c>
      <c r="L424" s="387" t="s">
        <v>4</v>
      </c>
      <c r="M424" s="390">
        <v>0</v>
      </c>
      <c r="N424" s="163"/>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1"/>
      <c r="AL424" s="161"/>
      <c r="AM424" s="161"/>
      <c r="AN424" s="161"/>
      <c r="AO424" s="161"/>
      <c r="AP424" s="161"/>
      <c r="AQ424" s="161"/>
      <c r="AR424" s="161"/>
      <c r="AS424" s="161"/>
      <c r="AT424" s="161"/>
      <c r="AU424" s="161"/>
      <c r="AV424" s="161"/>
      <c r="AW424" s="161"/>
      <c r="AX424" s="161"/>
      <c r="AY424" s="161"/>
      <c r="AZ424" s="161"/>
      <c r="BA424" s="161"/>
      <c r="BB424" s="161"/>
      <c r="BC424" s="161"/>
      <c r="BD424" s="161"/>
      <c r="BE424" s="161"/>
      <c r="BF424" s="161"/>
      <c r="BG424" s="161"/>
      <c r="BH424" s="161"/>
      <c r="BI424" s="161"/>
      <c r="BJ424" s="161"/>
      <c r="BK424" s="161"/>
      <c r="BL424" s="161"/>
      <c r="BM424" s="161"/>
      <c r="BN424" s="162"/>
      <c r="BO424" s="251"/>
      <c r="BP424" s="250"/>
      <c r="BQ424" s="250"/>
      <c r="BR424" s="250"/>
      <c r="BS424" s="250"/>
      <c r="BT424" s="250"/>
      <c r="BU424" s="250"/>
      <c r="BY424" s="250"/>
    </row>
    <row r="425" spans="3:78" ht="11.25" customHeight="1">
      <c r="C425" s="306"/>
      <c r="D425" s="367"/>
      <c r="E425" s="370"/>
      <c r="F425" s="406"/>
      <c r="G425" s="376"/>
      <c r="H425" s="379"/>
      <c r="I425" s="382"/>
      <c r="J425" s="382"/>
      <c r="K425" s="385"/>
      <c r="L425" s="388"/>
      <c r="M425" s="391"/>
      <c r="N425" s="393"/>
      <c r="O425" s="396">
        <v>1</v>
      </c>
      <c r="P425" s="399" t="s">
        <v>1297</v>
      </c>
      <c r="Q425" s="402"/>
      <c r="R425" s="361" t="s">
        <v>154</v>
      </c>
      <c r="S425" s="361" t="s">
        <v>154</v>
      </c>
      <c r="T425" s="361" t="s">
        <v>154</v>
      </c>
      <c r="U425" s="361" t="s">
        <v>154</v>
      </c>
      <c r="V425" s="361" t="s">
        <v>154</v>
      </c>
      <c r="W425" s="361" t="s">
        <v>154</v>
      </c>
      <c r="X425" s="361" t="s">
        <v>154</v>
      </c>
      <c r="Y425" s="361" t="s">
        <v>154</v>
      </c>
      <c r="Z425" s="361" t="s">
        <v>154</v>
      </c>
      <c r="AA425" s="361" t="s">
        <v>154</v>
      </c>
      <c r="AB425" s="361" t="s">
        <v>154</v>
      </c>
      <c r="AC425" s="361" t="s">
        <v>154</v>
      </c>
      <c r="AD425" s="361" t="s">
        <v>154</v>
      </c>
      <c r="AE425" s="209"/>
      <c r="AF425" s="220">
        <v>0</v>
      </c>
      <c r="AG425" s="219" t="s">
        <v>308</v>
      </c>
      <c r="AH425" s="219"/>
      <c r="AI425" s="219"/>
      <c r="AJ425" s="219"/>
      <c r="AK425" s="219"/>
      <c r="AL425" s="219"/>
      <c r="AM425" s="219"/>
      <c r="AN425" s="219"/>
      <c r="AO425" s="219"/>
      <c r="AP425" s="164"/>
      <c r="AQ425" s="164"/>
      <c r="AR425" s="164"/>
      <c r="AS425" s="164"/>
      <c r="AT425" s="164"/>
      <c r="AU425" s="164"/>
      <c r="AV425" s="164"/>
      <c r="AW425" s="164"/>
      <c r="AX425" s="164"/>
      <c r="AY425" s="164"/>
      <c r="AZ425" s="164"/>
      <c r="BA425" s="164"/>
      <c r="BB425" s="164"/>
      <c r="BC425" s="164"/>
      <c r="BD425" s="164"/>
      <c r="BE425" s="164"/>
      <c r="BF425" s="164"/>
      <c r="BG425" s="164"/>
      <c r="BH425" s="164"/>
      <c r="BI425" s="164"/>
      <c r="BJ425" s="164"/>
      <c r="BK425" s="164"/>
      <c r="BL425" s="164"/>
      <c r="BM425" s="164"/>
      <c r="BN425" s="165"/>
      <c r="BO425" s="251"/>
      <c r="BP425" s="364" t="s">
        <v>1298</v>
      </c>
      <c r="BQ425" s="364" t="s">
        <v>1298</v>
      </c>
      <c r="BR425" s="364" t="s">
        <v>1298</v>
      </c>
      <c r="BS425" s="250"/>
      <c r="BT425" s="364" t="s">
        <v>1298</v>
      </c>
      <c r="BU425" s="364" t="s">
        <v>1298</v>
      </c>
      <c r="BV425" s="364" t="s">
        <v>1298</v>
      </c>
      <c r="BW425" s="364" t="s">
        <v>1298</v>
      </c>
      <c r="BX425" s="364" t="s">
        <v>1298</v>
      </c>
      <c r="BY425" s="250"/>
    </row>
    <row r="426" spans="3:78" ht="14.25">
      <c r="C426" s="306"/>
      <c r="D426" s="367"/>
      <c r="E426" s="370"/>
      <c r="F426" s="406"/>
      <c r="G426" s="376"/>
      <c r="H426" s="379"/>
      <c r="I426" s="382"/>
      <c r="J426" s="382"/>
      <c r="K426" s="385"/>
      <c r="L426" s="388"/>
      <c r="M426" s="391"/>
      <c r="N426" s="394"/>
      <c r="O426" s="397"/>
      <c r="P426" s="400"/>
      <c r="Q426" s="403"/>
      <c r="R426" s="362"/>
      <c r="S426" s="362"/>
      <c r="T426" s="362"/>
      <c r="U426" s="362"/>
      <c r="V426" s="362"/>
      <c r="W426" s="362"/>
      <c r="X426" s="362"/>
      <c r="Y426" s="362"/>
      <c r="Z426" s="362"/>
      <c r="AA426" s="362"/>
      <c r="AB426" s="362"/>
      <c r="AC426" s="362"/>
      <c r="AD426" s="362"/>
      <c r="AE426" s="193"/>
      <c r="AF426" s="217" t="s">
        <v>268</v>
      </c>
      <c r="AG426" s="158" t="s">
        <v>221</v>
      </c>
      <c r="AH426" s="300" t="s">
        <v>19</v>
      </c>
      <c r="AI426" s="301" t="s">
        <v>154</v>
      </c>
      <c r="AJ426" s="221"/>
      <c r="AK426" s="221"/>
      <c r="AL426" s="221"/>
      <c r="AM426" s="221"/>
      <c r="AN426" s="221"/>
      <c r="AO426" s="221"/>
      <c r="AP426" s="302" t="s">
        <v>19</v>
      </c>
      <c r="AQ426" s="195">
        <f>SUM(AT426,AW426,AZ426,BC426,BF426,BI426,BL426)</f>
        <v>1726.9510870055501</v>
      </c>
      <c r="AR426" s="197">
        <f>SUM(AT426,AX426,BA426,BD426,BG426,BJ426,BM426)</f>
        <v>0</v>
      </c>
      <c r="AS426" s="195">
        <f>AQ426-AR426</f>
        <v>1726.9510870055501</v>
      </c>
      <c r="AT426" s="312"/>
      <c r="AU426" s="312"/>
      <c r="AV426" s="244"/>
      <c r="AW426" s="159"/>
      <c r="AX426" s="312"/>
      <c r="AY426" s="194">
        <f>AW426-AX426</f>
        <v>0</v>
      </c>
      <c r="AZ426" s="160">
        <v>1726.9510870055501</v>
      </c>
      <c r="BA426" s="312"/>
      <c r="BB426" s="194">
        <f>AZ426-BA426</f>
        <v>1726.9510870055501</v>
      </c>
      <c r="BC426" s="159"/>
      <c r="BD426" s="312"/>
      <c r="BE426" s="194">
        <f>BC426-BD426</f>
        <v>0</v>
      </c>
      <c r="BF426" s="159"/>
      <c r="BG426" s="244"/>
      <c r="BH426" s="194">
        <f>BF426-BG426</f>
        <v>0</v>
      </c>
      <c r="BI426" s="159"/>
      <c r="BJ426" s="244"/>
      <c r="BK426" s="194">
        <f>BI426-BJ426</f>
        <v>0</v>
      </c>
      <c r="BL426" s="312"/>
      <c r="BM426" s="312"/>
      <c r="BN426" s="195">
        <f>BL426-BM426</f>
        <v>0</v>
      </c>
      <c r="BO426" s="251">
        <v>0</v>
      </c>
      <c r="BP426" s="364"/>
      <c r="BQ426" s="364"/>
      <c r="BR426" s="364"/>
      <c r="BS426" s="249" t="str">
        <f>AG426 &amp; BO426</f>
        <v>Амортизационные отчисления0</v>
      </c>
      <c r="BT426" s="364"/>
      <c r="BU426" s="364"/>
      <c r="BV426" s="364"/>
      <c r="BW426" s="364"/>
      <c r="BX426" s="364"/>
      <c r="BY426" s="249" t="str">
        <f>AG426&amp;AH426</f>
        <v>Амортизационные отчислениянет</v>
      </c>
      <c r="BZ426" s="250"/>
    </row>
    <row r="427" spans="3:78" ht="14.25">
      <c r="C427" s="97"/>
      <c r="D427" s="367"/>
      <c r="E427" s="370"/>
      <c r="F427" s="406"/>
      <c r="G427" s="376"/>
      <c r="H427" s="379"/>
      <c r="I427" s="382"/>
      <c r="J427" s="382"/>
      <c r="K427" s="385"/>
      <c r="L427" s="388"/>
      <c r="M427" s="391"/>
      <c r="N427" s="394"/>
      <c r="O427" s="397"/>
      <c r="P427" s="400"/>
      <c r="Q427" s="403"/>
      <c r="R427" s="362"/>
      <c r="S427" s="362"/>
      <c r="T427" s="362"/>
      <c r="U427" s="362"/>
      <c r="V427" s="362"/>
      <c r="W427" s="362"/>
      <c r="X427" s="362"/>
      <c r="Y427" s="362"/>
      <c r="Z427" s="362"/>
      <c r="AA427" s="362"/>
      <c r="AB427" s="362"/>
      <c r="AC427" s="362"/>
      <c r="AD427" s="362"/>
      <c r="AE427" s="322" t="s">
        <v>1240</v>
      </c>
      <c r="AF427" s="217" t="s">
        <v>118</v>
      </c>
      <c r="AG427" s="196" t="s">
        <v>223</v>
      </c>
      <c r="AH427" s="302" t="s">
        <v>19</v>
      </c>
      <c r="AI427" s="301" t="s">
        <v>154</v>
      </c>
      <c r="AJ427" s="221"/>
      <c r="AK427" s="221"/>
      <c r="AL427" s="221"/>
      <c r="AM427" s="221"/>
      <c r="AN427" s="221"/>
      <c r="AO427" s="221"/>
      <c r="AP427" s="302" t="s">
        <v>19</v>
      </c>
      <c r="AQ427" s="195">
        <f>SUM(AT427,AW427,AZ427,BC427,BF427,BI427,BL427)</f>
        <v>345.39021740111002</v>
      </c>
      <c r="AR427" s="197">
        <f>SUM(AT427,AX427,BA427,BD427,BG427,BJ427,BM427)</f>
        <v>0</v>
      </c>
      <c r="AS427" s="195">
        <f>AQ427-AR427</f>
        <v>345.39021740111002</v>
      </c>
      <c r="AT427" s="315"/>
      <c r="AU427" s="315"/>
      <c r="AV427" s="241"/>
      <c r="AW427" s="198"/>
      <c r="AX427" s="313"/>
      <c r="AY427" s="199">
        <f>AW427-AX427</f>
        <v>0</v>
      </c>
      <c r="AZ427" s="173">
        <f>2072.34130440666-AZ426</f>
        <v>345.39021740111002</v>
      </c>
      <c r="BA427" s="313"/>
      <c r="BB427" s="199">
        <f>AZ427-BA427</f>
        <v>345.39021740111002</v>
      </c>
      <c r="BC427" s="198"/>
      <c r="BD427" s="313"/>
      <c r="BE427" s="199">
        <f>BC427-BD427</f>
        <v>0</v>
      </c>
      <c r="BF427" s="198"/>
      <c r="BG427" s="241"/>
      <c r="BH427" s="199">
        <f>BF427-BG427</f>
        <v>0</v>
      </c>
      <c r="BI427" s="198"/>
      <c r="BJ427" s="241"/>
      <c r="BK427" s="199">
        <f>BI427-BJ427</f>
        <v>0</v>
      </c>
      <c r="BL427" s="313"/>
      <c r="BM427" s="313"/>
      <c r="BN427" s="195">
        <f>BL427-BM427</f>
        <v>0</v>
      </c>
      <c r="BO427" s="251">
        <v>0</v>
      </c>
      <c r="BP427" s="364"/>
      <c r="BQ427" s="364"/>
      <c r="BR427" s="364"/>
      <c r="BS427" s="249" t="str">
        <f>AG427 &amp; BO427</f>
        <v>Прочие собственные средства0</v>
      </c>
      <c r="BT427" s="364"/>
      <c r="BU427" s="364"/>
      <c r="BV427" s="364"/>
      <c r="BW427" s="364"/>
      <c r="BX427" s="364"/>
      <c r="BY427" s="249" t="str">
        <f>AG427&amp;AH427</f>
        <v>Прочие собственные средстванет</v>
      </c>
      <c r="BZ427" s="250"/>
    </row>
    <row r="428" spans="3:78" ht="15" customHeight="1">
      <c r="C428" s="306"/>
      <c r="D428" s="367"/>
      <c r="E428" s="370"/>
      <c r="F428" s="406"/>
      <c r="G428" s="376"/>
      <c r="H428" s="379"/>
      <c r="I428" s="382"/>
      <c r="J428" s="382"/>
      <c r="K428" s="385"/>
      <c r="L428" s="388"/>
      <c r="M428" s="391"/>
      <c r="N428" s="395"/>
      <c r="O428" s="398"/>
      <c r="P428" s="401"/>
      <c r="Q428" s="404"/>
      <c r="R428" s="363"/>
      <c r="S428" s="363"/>
      <c r="T428" s="363"/>
      <c r="U428" s="363"/>
      <c r="V428" s="363"/>
      <c r="W428" s="363"/>
      <c r="X428" s="363"/>
      <c r="Y428" s="363"/>
      <c r="Z428" s="363"/>
      <c r="AA428" s="363"/>
      <c r="AB428" s="363"/>
      <c r="AC428" s="363"/>
      <c r="AD428" s="363"/>
      <c r="AE428" s="279" t="s">
        <v>379</v>
      </c>
      <c r="AF428" s="203"/>
      <c r="AG428" s="223" t="s">
        <v>24</v>
      </c>
      <c r="AH428" s="223"/>
      <c r="AI428" s="223"/>
      <c r="AJ428" s="223"/>
      <c r="AK428" s="223"/>
      <c r="AL428" s="223"/>
      <c r="AM428" s="223"/>
      <c r="AN428" s="223"/>
      <c r="AO428" s="223"/>
      <c r="AP428" s="168"/>
      <c r="AQ428" s="169"/>
      <c r="AR428" s="169"/>
      <c r="AS428" s="169"/>
      <c r="AT428" s="169"/>
      <c r="AU428" s="169"/>
      <c r="AV428" s="169"/>
      <c r="AW428" s="169"/>
      <c r="AX428" s="169"/>
      <c r="AY428" s="169"/>
      <c r="AZ428" s="169"/>
      <c r="BA428" s="169"/>
      <c r="BB428" s="169"/>
      <c r="BC428" s="169"/>
      <c r="BD428" s="169"/>
      <c r="BE428" s="169"/>
      <c r="BF428" s="169"/>
      <c r="BG428" s="169"/>
      <c r="BH428" s="169"/>
      <c r="BI428" s="169"/>
      <c r="BJ428" s="169"/>
      <c r="BK428" s="169"/>
      <c r="BL428" s="169"/>
      <c r="BM428" s="169"/>
      <c r="BN428" s="170"/>
      <c r="BO428" s="251"/>
      <c r="BP428" s="364"/>
      <c r="BQ428" s="364"/>
      <c r="BR428" s="364"/>
      <c r="BS428" s="250"/>
      <c r="BT428" s="364"/>
      <c r="BU428" s="364"/>
      <c r="BV428" s="364"/>
      <c r="BW428" s="364"/>
      <c r="BX428" s="364"/>
      <c r="BY428" s="250"/>
    </row>
    <row r="429" spans="3:78" ht="15" customHeight="1" thickBot="1">
      <c r="C429" s="307"/>
      <c r="D429" s="368"/>
      <c r="E429" s="371"/>
      <c r="F429" s="407"/>
      <c r="G429" s="377"/>
      <c r="H429" s="380"/>
      <c r="I429" s="383"/>
      <c r="J429" s="383"/>
      <c r="K429" s="386"/>
      <c r="L429" s="389"/>
      <c r="M429" s="392"/>
      <c r="N429" s="280" t="s">
        <v>380</v>
      </c>
      <c r="O429" s="212"/>
      <c r="P429" s="365" t="s">
        <v>154</v>
      </c>
      <c r="Q429" s="365"/>
      <c r="R429" s="171"/>
      <c r="S429" s="171"/>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c r="BC429" s="166"/>
      <c r="BD429" s="166"/>
      <c r="BE429" s="166"/>
      <c r="BF429" s="166"/>
      <c r="BG429" s="166"/>
      <c r="BH429" s="166"/>
      <c r="BI429" s="166"/>
      <c r="BJ429" s="166"/>
      <c r="BK429" s="166"/>
      <c r="BL429" s="166"/>
      <c r="BM429" s="166"/>
      <c r="BN429" s="167"/>
      <c r="BO429" s="251"/>
      <c r="BP429" s="250"/>
      <c r="BQ429" s="250"/>
      <c r="BR429" s="250"/>
      <c r="BS429" s="250"/>
      <c r="BT429" s="250"/>
      <c r="BU429" s="250"/>
      <c r="BY429" s="250"/>
    </row>
    <row r="430" spans="3:78" ht="11.25" customHeight="1">
      <c r="C430" s="97" t="s">
        <v>1240</v>
      </c>
      <c r="D430" s="366" t="s">
        <v>1346</v>
      </c>
      <c r="E430" s="369" t="s">
        <v>199</v>
      </c>
      <c r="F430" s="405" t="s">
        <v>209</v>
      </c>
      <c r="G430" s="375" t="s">
        <v>1482</v>
      </c>
      <c r="H430" s="378" t="s">
        <v>715</v>
      </c>
      <c r="I430" s="381" t="s">
        <v>715</v>
      </c>
      <c r="J430" s="381" t="s">
        <v>716</v>
      </c>
      <c r="K430" s="384">
        <v>1</v>
      </c>
      <c r="L430" s="387" t="s">
        <v>4</v>
      </c>
      <c r="M430" s="390">
        <v>0</v>
      </c>
      <c r="N430" s="163"/>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c r="AX430" s="161"/>
      <c r="AY430" s="161"/>
      <c r="AZ430" s="161"/>
      <c r="BA430" s="161"/>
      <c r="BB430" s="161"/>
      <c r="BC430" s="161"/>
      <c r="BD430" s="161"/>
      <c r="BE430" s="161"/>
      <c r="BF430" s="161"/>
      <c r="BG430" s="161"/>
      <c r="BH430" s="161"/>
      <c r="BI430" s="161"/>
      <c r="BJ430" s="161"/>
      <c r="BK430" s="161"/>
      <c r="BL430" s="161"/>
      <c r="BM430" s="161"/>
      <c r="BN430" s="162"/>
      <c r="BO430" s="251"/>
      <c r="BP430" s="250"/>
      <c r="BQ430" s="250"/>
      <c r="BR430" s="250"/>
      <c r="BS430" s="250"/>
      <c r="BT430" s="250"/>
      <c r="BU430" s="250"/>
      <c r="BY430" s="250"/>
    </row>
    <row r="431" spans="3:78" ht="11.25" customHeight="1">
      <c r="C431" s="306"/>
      <c r="D431" s="367"/>
      <c r="E431" s="370"/>
      <c r="F431" s="406"/>
      <c r="G431" s="376"/>
      <c r="H431" s="379"/>
      <c r="I431" s="382"/>
      <c r="J431" s="382"/>
      <c r="K431" s="385"/>
      <c r="L431" s="388"/>
      <c r="M431" s="391"/>
      <c r="N431" s="393"/>
      <c r="O431" s="396">
        <v>1</v>
      </c>
      <c r="P431" s="399" t="s">
        <v>1297</v>
      </c>
      <c r="Q431" s="402"/>
      <c r="R431" s="361" t="s">
        <v>154</v>
      </c>
      <c r="S431" s="361" t="s">
        <v>154</v>
      </c>
      <c r="T431" s="361" t="s">
        <v>154</v>
      </c>
      <c r="U431" s="361" t="s">
        <v>154</v>
      </c>
      <c r="V431" s="361" t="s">
        <v>154</v>
      </c>
      <c r="W431" s="361" t="s">
        <v>154</v>
      </c>
      <c r="X431" s="361" t="s">
        <v>154</v>
      </c>
      <c r="Y431" s="361" t="s">
        <v>154</v>
      </c>
      <c r="Z431" s="361" t="s">
        <v>154</v>
      </c>
      <c r="AA431" s="361" t="s">
        <v>154</v>
      </c>
      <c r="AB431" s="361" t="s">
        <v>154</v>
      </c>
      <c r="AC431" s="361" t="s">
        <v>154</v>
      </c>
      <c r="AD431" s="361" t="s">
        <v>154</v>
      </c>
      <c r="AE431" s="209"/>
      <c r="AF431" s="220">
        <v>0</v>
      </c>
      <c r="AG431" s="219" t="s">
        <v>308</v>
      </c>
      <c r="AH431" s="219"/>
      <c r="AI431" s="219"/>
      <c r="AJ431" s="219"/>
      <c r="AK431" s="219"/>
      <c r="AL431" s="219"/>
      <c r="AM431" s="219"/>
      <c r="AN431" s="219"/>
      <c r="AO431" s="219"/>
      <c r="AP431" s="164"/>
      <c r="AQ431" s="164"/>
      <c r="AR431" s="164"/>
      <c r="AS431" s="164"/>
      <c r="AT431" s="164"/>
      <c r="AU431" s="164"/>
      <c r="AV431" s="164"/>
      <c r="AW431" s="164"/>
      <c r="AX431" s="164"/>
      <c r="AY431" s="164"/>
      <c r="AZ431" s="164"/>
      <c r="BA431" s="164"/>
      <c r="BB431" s="164"/>
      <c r="BC431" s="164"/>
      <c r="BD431" s="164"/>
      <c r="BE431" s="164"/>
      <c r="BF431" s="164"/>
      <c r="BG431" s="164"/>
      <c r="BH431" s="164"/>
      <c r="BI431" s="164"/>
      <c r="BJ431" s="164"/>
      <c r="BK431" s="164"/>
      <c r="BL431" s="164"/>
      <c r="BM431" s="164"/>
      <c r="BN431" s="165"/>
      <c r="BO431" s="251"/>
      <c r="BP431" s="364" t="s">
        <v>1298</v>
      </c>
      <c r="BQ431" s="364" t="s">
        <v>1298</v>
      </c>
      <c r="BR431" s="364" t="s">
        <v>1298</v>
      </c>
      <c r="BS431" s="250"/>
      <c r="BT431" s="364" t="s">
        <v>1298</v>
      </c>
      <c r="BU431" s="364" t="s">
        <v>1298</v>
      </c>
      <c r="BV431" s="364" t="s">
        <v>1298</v>
      </c>
      <c r="BW431" s="364" t="s">
        <v>1298</v>
      </c>
      <c r="BX431" s="364" t="s">
        <v>1298</v>
      </c>
      <c r="BY431" s="250"/>
    </row>
    <row r="432" spans="3:78" ht="14.25">
      <c r="C432" s="306"/>
      <c r="D432" s="367"/>
      <c r="E432" s="370"/>
      <c r="F432" s="406"/>
      <c r="G432" s="376"/>
      <c r="H432" s="379"/>
      <c r="I432" s="382"/>
      <c r="J432" s="382"/>
      <c r="K432" s="385"/>
      <c r="L432" s="388"/>
      <c r="M432" s="391"/>
      <c r="N432" s="394"/>
      <c r="O432" s="397"/>
      <c r="P432" s="400"/>
      <c r="Q432" s="403"/>
      <c r="R432" s="362"/>
      <c r="S432" s="362"/>
      <c r="T432" s="362"/>
      <c r="U432" s="362"/>
      <c r="V432" s="362"/>
      <c r="W432" s="362"/>
      <c r="X432" s="362"/>
      <c r="Y432" s="362"/>
      <c r="Z432" s="362"/>
      <c r="AA432" s="362"/>
      <c r="AB432" s="362"/>
      <c r="AC432" s="362"/>
      <c r="AD432" s="362"/>
      <c r="AE432" s="193"/>
      <c r="AF432" s="217" t="s">
        <v>268</v>
      </c>
      <c r="AG432" s="158" t="s">
        <v>221</v>
      </c>
      <c r="AH432" s="300" t="s">
        <v>19</v>
      </c>
      <c r="AI432" s="301" t="s">
        <v>154</v>
      </c>
      <c r="AJ432" s="221"/>
      <c r="AK432" s="221"/>
      <c r="AL432" s="221"/>
      <c r="AM432" s="221"/>
      <c r="AN432" s="221"/>
      <c r="AO432" s="221"/>
      <c r="AP432" s="302" t="s">
        <v>19</v>
      </c>
      <c r="AQ432" s="195">
        <f>SUM(AT432,AW432,AZ432,BC432,BF432,BI432,BL432)</f>
        <v>2491.0430291270332</v>
      </c>
      <c r="AR432" s="197">
        <f>SUM(AT432,AX432,BA432,BD432,BG432,BJ432,BM432)</f>
        <v>0</v>
      </c>
      <c r="AS432" s="195">
        <f>AQ432-AR432</f>
        <v>2491.0430291270332</v>
      </c>
      <c r="AT432" s="312"/>
      <c r="AU432" s="312"/>
      <c r="AV432" s="244"/>
      <c r="AW432" s="159"/>
      <c r="AX432" s="312"/>
      <c r="AY432" s="194">
        <f>AW432-AX432</f>
        <v>0</v>
      </c>
      <c r="AZ432" s="160">
        <v>2491.0430291270332</v>
      </c>
      <c r="BA432" s="312"/>
      <c r="BB432" s="194">
        <f>AZ432-BA432</f>
        <v>2491.0430291270332</v>
      </c>
      <c r="BC432" s="159"/>
      <c r="BD432" s="312"/>
      <c r="BE432" s="194">
        <f>BC432-BD432</f>
        <v>0</v>
      </c>
      <c r="BF432" s="159"/>
      <c r="BG432" s="244"/>
      <c r="BH432" s="194">
        <f>BF432-BG432</f>
        <v>0</v>
      </c>
      <c r="BI432" s="159"/>
      <c r="BJ432" s="244"/>
      <c r="BK432" s="194">
        <f>BI432-BJ432</f>
        <v>0</v>
      </c>
      <c r="BL432" s="312"/>
      <c r="BM432" s="312"/>
      <c r="BN432" s="195">
        <f>BL432-BM432</f>
        <v>0</v>
      </c>
      <c r="BO432" s="251">
        <v>0</v>
      </c>
      <c r="BP432" s="364"/>
      <c r="BQ432" s="364"/>
      <c r="BR432" s="364"/>
      <c r="BS432" s="249" t="str">
        <f>AG432 &amp; BO432</f>
        <v>Амортизационные отчисления0</v>
      </c>
      <c r="BT432" s="364"/>
      <c r="BU432" s="364"/>
      <c r="BV432" s="364"/>
      <c r="BW432" s="364"/>
      <c r="BX432" s="364"/>
      <c r="BY432" s="249" t="str">
        <f>AG432&amp;AH432</f>
        <v>Амортизационные отчислениянет</v>
      </c>
      <c r="BZ432" s="250"/>
    </row>
    <row r="433" spans="3:78" ht="14.25">
      <c r="C433" s="97"/>
      <c r="D433" s="367"/>
      <c r="E433" s="370"/>
      <c r="F433" s="406"/>
      <c r="G433" s="376"/>
      <c r="H433" s="379"/>
      <c r="I433" s="382"/>
      <c r="J433" s="382"/>
      <c r="K433" s="385"/>
      <c r="L433" s="388"/>
      <c r="M433" s="391"/>
      <c r="N433" s="394"/>
      <c r="O433" s="397"/>
      <c r="P433" s="400"/>
      <c r="Q433" s="403"/>
      <c r="R433" s="362"/>
      <c r="S433" s="362"/>
      <c r="T433" s="362"/>
      <c r="U433" s="362"/>
      <c r="V433" s="362"/>
      <c r="W433" s="362"/>
      <c r="X433" s="362"/>
      <c r="Y433" s="362"/>
      <c r="Z433" s="362"/>
      <c r="AA433" s="362"/>
      <c r="AB433" s="362"/>
      <c r="AC433" s="362"/>
      <c r="AD433" s="362"/>
      <c r="AE433" s="322" t="s">
        <v>1240</v>
      </c>
      <c r="AF433" s="217" t="s">
        <v>118</v>
      </c>
      <c r="AG433" s="196" t="s">
        <v>223</v>
      </c>
      <c r="AH433" s="302" t="s">
        <v>19</v>
      </c>
      <c r="AI433" s="301" t="s">
        <v>154</v>
      </c>
      <c r="AJ433" s="221"/>
      <c r="AK433" s="221"/>
      <c r="AL433" s="221"/>
      <c r="AM433" s="221"/>
      <c r="AN433" s="221"/>
      <c r="AO433" s="221"/>
      <c r="AP433" s="302" t="s">
        <v>19</v>
      </c>
      <c r="AQ433" s="195">
        <f>SUM(AT433,AW433,AZ433,BC433,BF433,BI433,BL433)</f>
        <v>498.20860582540672</v>
      </c>
      <c r="AR433" s="197">
        <f>SUM(AT433,AX433,BA433,BD433,BG433,BJ433,BM433)</f>
        <v>0</v>
      </c>
      <c r="AS433" s="195">
        <f>AQ433-AR433</f>
        <v>498.20860582540672</v>
      </c>
      <c r="AT433" s="315"/>
      <c r="AU433" s="315"/>
      <c r="AV433" s="241"/>
      <c r="AW433" s="198"/>
      <c r="AX433" s="313"/>
      <c r="AY433" s="199">
        <f>AW433-AX433</f>
        <v>0</v>
      </c>
      <c r="AZ433" s="173">
        <f>2989.25163495244-AZ432</f>
        <v>498.20860582540672</v>
      </c>
      <c r="BA433" s="313"/>
      <c r="BB433" s="199">
        <f>AZ433-BA433</f>
        <v>498.20860582540672</v>
      </c>
      <c r="BC433" s="198"/>
      <c r="BD433" s="313"/>
      <c r="BE433" s="199">
        <f>BC433-BD433</f>
        <v>0</v>
      </c>
      <c r="BF433" s="198"/>
      <c r="BG433" s="241"/>
      <c r="BH433" s="199">
        <f>BF433-BG433</f>
        <v>0</v>
      </c>
      <c r="BI433" s="198"/>
      <c r="BJ433" s="241"/>
      <c r="BK433" s="199">
        <f>BI433-BJ433</f>
        <v>0</v>
      </c>
      <c r="BL433" s="313"/>
      <c r="BM433" s="313"/>
      <c r="BN433" s="195">
        <f>BL433-BM433</f>
        <v>0</v>
      </c>
      <c r="BO433" s="251">
        <v>0</v>
      </c>
      <c r="BP433" s="364"/>
      <c r="BQ433" s="364"/>
      <c r="BR433" s="364"/>
      <c r="BS433" s="249" t="str">
        <f>AG433 &amp; BO433</f>
        <v>Прочие собственные средства0</v>
      </c>
      <c r="BT433" s="364"/>
      <c r="BU433" s="364"/>
      <c r="BV433" s="364"/>
      <c r="BW433" s="364"/>
      <c r="BX433" s="364"/>
      <c r="BY433" s="249" t="str">
        <f>AG433&amp;AH433</f>
        <v>Прочие собственные средстванет</v>
      </c>
      <c r="BZ433" s="250"/>
    </row>
    <row r="434" spans="3:78" ht="15" customHeight="1">
      <c r="C434" s="306"/>
      <c r="D434" s="367"/>
      <c r="E434" s="370"/>
      <c r="F434" s="406"/>
      <c r="G434" s="376"/>
      <c r="H434" s="379"/>
      <c r="I434" s="382"/>
      <c r="J434" s="382"/>
      <c r="K434" s="385"/>
      <c r="L434" s="388"/>
      <c r="M434" s="391"/>
      <c r="N434" s="395"/>
      <c r="O434" s="398"/>
      <c r="P434" s="401"/>
      <c r="Q434" s="404"/>
      <c r="R434" s="363"/>
      <c r="S434" s="363"/>
      <c r="T434" s="363"/>
      <c r="U434" s="363"/>
      <c r="V434" s="363"/>
      <c r="W434" s="363"/>
      <c r="X434" s="363"/>
      <c r="Y434" s="363"/>
      <c r="Z434" s="363"/>
      <c r="AA434" s="363"/>
      <c r="AB434" s="363"/>
      <c r="AC434" s="363"/>
      <c r="AD434" s="363"/>
      <c r="AE434" s="279" t="s">
        <v>379</v>
      </c>
      <c r="AF434" s="203"/>
      <c r="AG434" s="223" t="s">
        <v>24</v>
      </c>
      <c r="AH434" s="223"/>
      <c r="AI434" s="223"/>
      <c r="AJ434" s="223"/>
      <c r="AK434" s="223"/>
      <c r="AL434" s="223"/>
      <c r="AM434" s="223"/>
      <c r="AN434" s="223"/>
      <c r="AO434" s="223"/>
      <c r="AP434" s="168"/>
      <c r="AQ434" s="169"/>
      <c r="AR434" s="169"/>
      <c r="AS434" s="169"/>
      <c r="AT434" s="169"/>
      <c r="AU434" s="169"/>
      <c r="AV434" s="169"/>
      <c r="AW434" s="169"/>
      <c r="AX434" s="169"/>
      <c r="AY434" s="169"/>
      <c r="AZ434" s="169"/>
      <c r="BA434" s="169"/>
      <c r="BB434" s="169"/>
      <c r="BC434" s="169"/>
      <c r="BD434" s="169"/>
      <c r="BE434" s="169"/>
      <c r="BF434" s="169"/>
      <c r="BG434" s="169"/>
      <c r="BH434" s="169"/>
      <c r="BI434" s="169"/>
      <c r="BJ434" s="169"/>
      <c r="BK434" s="169"/>
      <c r="BL434" s="169"/>
      <c r="BM434" s="169"/>
      <c r="BN434" s="170"/>
      <c r="BO434" s="251"/>
      <c r="BP434" s="364"/>
      <c r="BQ434" s="364"/>
      <c r="BR434" s="364"/>
      <c r="BS434" s="250"/>
      <c r="BT434" s="364"/>
      <c r="BU434" s="364"/>
      <c r="BV434" s="364"/>
      <c r="BW434" s="364"/>
      <c r="BX434" s="364"/>
      <c r="BY434" s="250"/>
    </row>
    <row r="435" spans="3:78" ht="15" customHeight="1" thickBot="1">
      <c r="C435" s="307"/>
      <c r="D435" s="368"/>
      <c r="E435" s="371"/>
      <c r="F435" s="407"/>
      <c r="G435" s="377"/>
      <c r="H435" s="380"/>
      <c r="I435" s="383"/>
      <c r="J435" s="383"/>
      <c r="K435" s="386"/>
      <c r="L435" s="389"/>
      <c r="M435" s="392"/>
      <c r="N435" s="280" t="s">
        <v>380</v>
      </c>
      <c r="O435" s="212"/>
      <c r="P435" s="365" t="s">
        <v>154</v>
      </c>
      <c r="Q435" s="365"/>
      <c r="R435" s="171"/>
      <c r="S435" s="171"/>
      <c r="T435" s="166"/>
      <c r="U435" s="166"/>
      <c r="V435" s="166"/>
      <c r="W435" s="166"/>
      <c r="X435" s="166"/>
      <c r="Y435" s="166"/>
      <c r="Z435" s="166"/>
      <c r="AA435" s="166"/>
      <c r="AB435" s="166"/>
      <c r="AC435" s="166"/>
      <c r="AD435" s="166"/>
      <c r="AE435" s="166"/>
      <c r="AF435" s="166"/>
      <c r="AG435" s="166"/>
      <c r="AH435" s="166"/>
      <c r="AI435" s="166"/>
      <c r="AJ435" s="166"/>
      <c r="AK435" s="166"/>
      <c r="AL435" s="166"/>
      <c r="AM435" s="166"/>
      <c r="AN435" s="166"/>
      <c r="AO435" s="166"/>
      <c r="AP435" s="166"/>
      <c r="AQ435" s="166"/>
      <c r="AR435" s="166"/>
      <c r="AS435" s="166"/>
      <c r="AT435" s="166"/>
      <c r="AU435" s="166"/>
      <c r="AV435" s="166"/>
      <c r="AW435" s="166"/>
      <c r="AX435" s="166"/>
      <c r="AY435" s="166"/>
      <c r="AZ435" s="166"/>
      <c r="BA435" s="166"/>
      <c r="BB435" s="166"/>
      <c r="BC435" s="166"/>
      <c r="BD435" s="166"/>
      <c r="BE435" s="166"/>
      <c r="BF435" s="166"/>
      <c r="BG435" s="166"/>
      <c r="BH435" s="166"/>
      <c r="BI435" s="166"/>
      <c r="BJ435" s="166"/>
      <c r="BK435" s="166"/>
      <c r="BL435" s="166"/>
      <c r="BM435" s="166"/>
      <c r="BN435" s="167"/>
      <c r="BO435" s="251"/>
      <c r="BP435" s="250"/>
      <c r="BQ435" s="250"/>
      <c r="BR435" s="250"/>
      <c r="BS435" s="250"/>
      <c r="BT435" s="250"/>
      <c r="BU435" s="250"/>
      <c r="BY435" s="250"/>
    </row>
    <row r="436" spans="3:78" ht="11.25" customHeight="1">
      <c r="C436" s="97" t="s">
        <v>1240</v>
      </c>
      <c r="D436" s="366" t="s">
        <v>1347</v>
      </c>
      <c r="E436" s="369" t="s">
        <v>199</v>
      </c>
      <c r="F436" s="405" t="s">
        <v>209</v>
      </c>
      <c r="G436" s="375" t="s">
        <v>1483</v>
      </c>
      <c r="H436" s="378" t="s">
        <v>715</v>
      </c>
      <c r="I436" s="381" t="s">
        <v>715</v>
      </c>
      <c r="J436" s="381" t="s">
        <v>716</v>
      </c>
      <c r="K436" s="384">
        <v>1</v>
      </c>
      <c r="L436" s="387" t="s">
        <v>4</v>
      </c>
      <c r="M436" s="390">
        <v>0</v>
      </c>
      <c r="N436" s="163"/>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1"/>
      <c r="AL436" s="161"/>
      <c r="AM436" s="161"/>
      <c r="AN436" s="161"/>
      <c r="AO436" s="161"/>
      <c r="AP436" s="161"/>
      <c r="AQ436" s="161"/>
      <c r="AR436" s="161"/>
      <c r="AS436" s="161"/>
      <c r="AT436" s="161"/>
      <c r="AU436" s="161"/>
      <c r="AV436" s="161"/>
      <c r="AW436" s="161"/>
      <c r="AX436" s="161"/>
      <c r="AY436" s="161"/>
      <c r="AZ436" s="161"/>
      <c r="BA436" s="161"/>
      <c r="BB436" s="161"/>
      <c r="BC436" s="161"/>
      <c r="BD436" s="161"/>
      <c r="BE436" s="161"/>
      <c r="BF436" s="161"/>
      <c r="BG436" s="161"/>
      <c r="BH436" s="161"/>
      <c r="BI436" s="161"/>
      <c r="BJ436" s="161"/>
      <c r="BK436" s="161"/>
      <c r="BL436" s="161"/>
      <c r="BM436" s="161"/>
      <c r="BN436" s="162"/>
      <c r="BO436" s="251"/>
      <c r="BP436" s="250"/>
      <c r="BQ436" s="250"/>
      <c r="BR436" s="250"/>
      <c r="BS436" s="250"/>
      <c r="BT436" s="250"/>
      <c r="BU436" s="250"/>
      <c r="BY436" s="250"/>
    </row>
    <row r="437" spans="3:78" ht="11.25" customHeight="1">
      <c r="C437" s="306"/>
      <c r="D437" s="367"/>
      <c r="E437" s="370"/>
      <c r="F437" s="406"/>
      <c r="G437" s="376"/>
      <c r="H437" s="379"/>
      <c r="I437" s="382"/>
      <c r="J437" s="382"/>
      <c r="K437" s="385"/>
      <c r="L437" s="388"/>
      <c r="M437" s="391"/>
      <c r="N437" s="393"/>
      <c r="O437" s="396">
        <v>1</v>
      </c>
      <c r="P437" s="399" t="s">
        <v>1297</v>
      </c>
      <c r="Q437" s="402"/>
      <c r="R437" s="361" t="s">
        <v>154</v>
      </c>
      <c r="S437" s="361" t="s">
        <v>154</v>
      </c>
      <c r="T437" s="361" t="s">
        <v>154</v>
      </c>
      <c r="U437" s="361" t="s">
        <v>154</v>
      </c>
      <c r="V437" s="361" t="s">
        <v>154</v>
      </c>
      <c r="W437" s="361" t="s">
        <v>154</v>
      </c>
      <c r="X437" s="361" t="s">
        <v>154</v>
      </c>
      <c r="Y437" s="361" t="s">
        <v>154</v>
      </c>
      <c r="Z437" s="361" t="s">
        <v>154</v>
      </c>
      <c r="AA437" s="361" t="s">
        <v>154</v>
      </c>
      <c r="AB437" s="361" t="s">
        <v>154</v>
      </c>
      <c r="AC437" s="361" t="s">
        <v>154</v>
      </c>
      <c r="AD437" s="361" t="s">
        <v>154</v>
      </c>
      <c r="AE437" s="209"/>
      <c r="AF437" s="220">
        <v>0</v>
      </c>
      <c r="AG437" s="219" t="s">
        <v>308</v>
      </c>
      <c r="AH437" s="219"/>
      <c r="AI437" s="219"/>
      <c r="AJ437" s="219"/>
      <c r="AK437" s="219"/>
      <c r="AL437" s="219"/>
      <c r="AM437" s="219"/>
      <c r="AN437" s="219"/>
      <c r="AO437" s="219"/>
      <c r="AP437" s="164"/>
      <c r="AQ437" s="164"/>
      <c r="AR437" s="164"/>
      <c r="AS437" s="164"/>
      <c r="AT437" s="164"/>
      <c r="AU437" s="164"/>
      <c r="AV437" s="164"/>
      <c r="AW437" s="164"/>
      <c r="AX437" s="164"/>
      <c r="AY437" s="164"/>
      <c r="AZ437" s="164"/>
      <c r="BA437" s="164"/>
      <c r="BB437" s="164"/>
      <c r="BC437" s="164"/>
      <c r="BD437" s="164"/>
      <c r="BE437" s="164"/>
      <c r="BF437" s="164"/>
      <c r="BG437" s="164"/>
      <c r="BH437" s="164"/>
      <c r="BI437" s="164"/>
      <c r="BJ437" s="164"/>
      <c r="BK437" s="164"/>
      <c r="BL437" s="164"/>
      <c r="BM437" s="164"/>
      <c r="BN437" s="165"/>
      <c r="BO437" s="251"/>
      <c r="BP437" s="364" t="s">
        <v>1298</v>
      </c>
      <c r="BQ437" s="364" t="s">
        <v>1298</v>
      </c>
      <c r="BR437" s="364" t="s">
        <v>1298</v>
      </c>
      <c r="BS437" s="250"/>
      <c r="BT437" s="364" t="s">
        <v>1298</v>
      </c>
      <c r="BU437" s="364" t="s">
        <v>1298</v>
      </c>
      <c r="BV437" s="364" t="s">
        <v>1298</v>
      </c>
      <c r="BW437" s="364" t="s">
        <v>1298</v>
      </c>
      <c r="BX437" s="364" t="s">
        <v>1298</v>
      </c>
      <c r="BY437" s="250"/>
    </row>
    <row r="438" spans="3:78" ht="14.25">
      <c r="C438" s="306"/>
      <c r="D438" s="367"/>
      <c r="E438" s="370"/>
      <c r="F438" s="406"/>
      <c r="G438" s="376"/>
      <c r="H438" s="379"/>
      <c r="I438" s="382"/>
      <c r="J438" s="382"/>
      <c r="K438" s="385"/>
      <c r="L438" s="388"/>
      <c r="M438" s="391"/>
      <c r="N438" s="394"/>
      <c r="O438" s="397"/>
      <c r="P438" s="400"/>
      <c r="Q438" s="403"/>
      <c r="R438" s="362"/>
      <c r="S438" s="362"/>
      <c r="T438" s="362"/>
      <c r="U438" s="362"/>
      <c r="V438" s="362"/>
      <c r="W438" s="362"/>
      <c r="X438" s="362"/>
      <c r="Y438" s="362"/>
      <c r="Z438" s="362"/>
      <c r="AA438" s="362"/>
      <c r="AB438" s="362"/>
      <c r="AC438" s="362"/>
      <c r="AD438" s="362"/>
      <c r="AE438" s="193"/>
      <c r="AF438" s="217" t="s">
        <v>268</v>
      </c>
      <c r="AG438" s="158" t="s">
        <v>221</v>
      </c>
      <c r="AH438" s="300" t="s">
        <v>19</v>
      </c>
      <c r="AI438" s="301" t="s">
        <v>154</v>
      </c>
      <c r="AJ438" s="221"/>
      <c r="AK438" s="221"/>
      <c r="AL438" s="221"/>
      <c r="AM438" s="221"/>
      <c r="AN438" s="221"/>
      <c r="AO438" s="221"/>
      <c r="AP438" s="302" t="s">
        <v>19</v>
      </c>
      <c r="AQ438" s="195">
        <f>SUM(AT438,AW438,AZ438,BC438,BF438,BI438,BL438)</f>
        <v>1990.3515235450084</v>
      </c>
      <c r="AR438" s="197">
        <f>SUM(AT438,AX438,BA438,BD438,BG438,BJ438,BM438)</f>
        <v>0</v>
      </c>
      <c r="AS438" s="195">
        <f>AQ438-AR438</f>
        <v>1990.3515235450084</v>
      </c>
      <c r="AT438" s="312"/>
      <c r="AU438" s="312"/>
      <c r="AV438" s="244"/>
      <c r="AW438" s="159"/>
      <c r="AX438" s="312"/>
      <c r="AY438" s="194">
        <f>AW438-AX438</f>
        <v>0</v>
      </c>
      <c r="AZ438" s="160">
        <v>1990.3515235450084</v>
      </c>
      <c r="BA438" s="312"/>
      <c r="BB438" s="194">
        <f>AZ438-BA438</f>
        <v>1990.3515235450084</v>
      </c>
      <c r="BC438" s="159"/>
      <c r="BD438" s="312"/>
      <c r="BE438" s="194">
        <f>BC438-BD438</f>
        <v>0</v>
      </c>
      <c r="BF438" s="159"/>
      <c r="BG438" s="244"/>
      <c r="BH438" s="194">
        <f>BF438-BG438</f>
        <v>0</v>
      </c>
      <c r="BI438" s="159"/>
      <c r="BJ438" s="244"/>
      <c r="BK438" s="194">
        <f>BI438-BJ438</f>
        <v>0</v>
      </c>
      <c r="BL438" s="312"/>
      <c r="BM438" s="312"/>
      <c r="BN438" s="195">
        <f>BL438-BM438</f>
        <v>0</v>
      </c>
      <c r="BO438" s="251">
        <v>0</v>
      </c>
      <c r="BP438" s="364"/>
      <c r="BQ438" s="364"/>
      <c r="BR438" s="364"/>
      <c r="BS438" s="249" t="str">
        <f>AG438 &amp; BO438</f>
        <v>Амортизационные отчисления0</v>
      </c>
      <c r="BT438" s="364"/>
      <c r="BU438" s="364"/>
      <c r="BV438" s="364"/>
      <c r="BW438" s="364"/>
      <c r="BX438" s="364"/>
      <c r="BY438" s="249" t="str">
        <f>AG438&amp;AH438</f>
        <v>Амортизационные отчислениянет</v>
      </c>
      <c r="BZ438" s="250"/>
    </row>
    <row r="439" spans="3:78" ht="14.25">
      <c r="C439" s="97"/>
      <c r="D439" s="367"/>
      <c r="E439" s="370"/>
      <c r="F439" s="406"/>
      <c r="G439" s="376"/>
      <c r="H439" s="379"/>
      <c r="I439" s="382"/>
      <c r="J439" s="382"/>
      <c r="K439" s="385"/>
      <c r="L439" s="388"/>
      <c r="M439" s="391"/>
      <c r="N439" s="394"/>
      <c r="O439" s="397"/>
      <c r="P439" s="400"/>
      <c r="Q439" s="403"/>
      <c r="R439" s="362"/>
      <c r="S439" s="362"/>
      <c r="T439" s="362"/>
      <c r="U439" s="362"/>
      <c r="V439" s="362"/>
      <c r="W439" s="362"/>
      <c r="X439" s="362"/>
      <c r="Y439" s="362"/>
      <c r="Z439" s="362"/>
      <c r="AA439" s="362"/>
      <c r="AB439" s="362"/>
      <c r="AC439" s="362"/>
      <c r="AD439" s="362"/>
      <c r="AE439" s="322" t="s">
        <v>1240</v>
      </c>
      <c r="AF439" s="217" t="s">
        <v>118</v>
      </c>
      <c r="AG439" s="196" t="s">
        <v>223</v>
      </c>
      <c r="AH439" s="302" t="s">
        <v>19</v>
      </c>
      <c r="AI439" s="301" t="s">
        <v>154</v>
      </c>
      <c r="AJ439" s="221"/>
      <c r="AK439" s="221"/>
      <c r="AL439" s="221"/>
      <c r="AM439" s="221"/>
      <c r="AN439" s="221"/>
      <c r="AO439" s="221"/>
      <c r="AP439" s="302" t="s">
        <v>19</v>
      </c>
      <c r="AQ439" s="195">
        <f>SUM(AT439,AW439,AZ439,BC439,BF439,BI439,BL439)</f>
        <v>398.07030470900168</v>
      </c>
      <c r="AR439" s="197">
        <f>SUM(AT439,AX439,BA439,BD439,BG439,BJ439,BM439)</f>
        <v>0</v>
      </c>
      <c r="AS439" s="195">
        <f>AQ439-AR439</f>
        <v>398.07030470900168</v>
      </c>
      <c r="AT439" s="315"/>
      <c r="AU439" s="315"/>
      <c r="AV439" s="241"/>
      <c r="AW439" s="198"/>
      <c r="AX439" s="313"/>
      <c r="AY439" s="199">
        <f>AW439-AX439</f>
        <v>0</v>
      </c>
      <c r="AZ439" s="173">
        <f>2388.42182825401-AZ438</f>
        <v>398.07030470900168</v>
      </c>
      <c r="BA439" s="313"/>
      <c r="BB439" s="199">
        <f>AZ439-BA439</f>
        <v>398.07030470900168</v>
      </c>
      <c r="BC439" s="198"/>
      <c r="BD439" s="313"/>
      <c r="BE439" s="199">
        <f>BC439-BD439</f>
        <v>0</v>
      </c>
      <c r="BF439" s="198"/>
      <c r="BG439" s="241"/>
      <c r="BH439" s="199">
        <f>BF439-BG439</f>
        <v>0</v>
      </c>
      <c r="BI439" s="198"/>
      <c r="BJ439" s="241"/>
      <c r="BK439" s="199">
        <f>BI439-BJ439</f>
        <v>0</v>
      </c>
      <c r="BL439" s="313"/>
      <c r="BM439" s="313"/>
      <c r="BN439" s="195">
        <f>BL439-BM439</f>
        <v>0</v>
      </c>
      <c r="BO439" s="251">
        <v>0</v>
      </c>
      <c r="BP439" s="364"/>
      <c r="BQ439" s="364"/>
      <c r="BR439" s="364"/>
      <c r="BS439" s="249" t="str">
        <f>AG439 &amp; BO439</f>
        <v>Прочие собственные средства0</v>
      </c>
      <c r="BT439" s="364"/>
      <c r="BU439" s="364"/>
      <c r="BV439" s="364"/>
      <c r="BW439" s="364"/>
      <c r="BX439" s="364"/>
      <c r="BY439" s="249" t="str">
        <f>AG439&amp;AH439</f>
        <v>Прочие собственные средстванет</v>
      </c>
      <c r="BZ439" s="250"/>
    </row>
    <row r="440" spans="3:78" ht="15" customHeight="1">
      <c r="C440" s="306"/>
      <c r="D440" s="367"/>
      <c r="E440" s="370"/>
      <c r="F440" s="406"/>
      <c r="G440" s="376"/>
      <c r="H440" s="379"/>
      <c r="I440" s="382"/>
      <c r="J440" s="382"/>
      <c r="K440" s="385"/>
      <c r="L440" s="388"/>
      <c r="M440" s="391"/>
      <c r="N440" s="395"/>
      <c r="O440" s="398"/>
      <c r="P440" s="401"/>
      <c r="Q440" s="404"/>
      <c r="R440" s="363"/>
      <c r="S440" s="363"/>
      <c r="T440" s="363"/>
      <c r="U440" s="363"/>
      <c r="V440" s="363"/>
      <c r="W440" s="363"/>
      <c r="X440" s="363"/>
      <c r="Y440" s="363"/>
      <c r="Z440" s="363"/>
      <c r="AA440" s="363"/>
      <c r="AB440" s="363"/>
      <c r="AC440" s="363"/>
      <c r="AD440" s="363"/>
      <c r="AE440" s="279" t="s">
        <v>379</v>
      </c>
      <c r="AF440" s="203"/>
      <c r="AG440" s="223" t="s">
        <v>24</v>
      </c>
      <c r="AH440" s="223"/>
      <c r="AI440" s="223"/>
      <c r="AJ440" s="223"/>
      <c r="AK440" s="223"/>
      <c r="AL440" s="223"/>
      <c r="AM440" s="223"/>
      <c r="AN440" s="223"/>
      <c r="AO440" s="223"/>
      <c r="AP440" s="168"/>
      <c r="AQ440" s="169"/>
      <c r="AR440" s="169"/>
      <c r="AS440" s="169"/>
      <c r="AT440" s="169"/>
      <c r="AU440" s="169"/>
      <c r="AV440" s="169"/>
      <c r="AW440" s="169"/>
      <c r="AX440" s="169"/>
      <c r="AY440" s="169"/>
      <c r="AZ440" s="169"/>
      <c r="BA440" s="169"/>
      <c r="BB440" s="169"/>
      <c r="BC440" s="169"/>
      <c r="BD440" s="169"/>
      <c r="BE440" s="169"/>
      <c r="BF440" s="169"/>
      <c r="BG440" s="169"/>
      <c r="BH440" s="169"/>
      <c r="BI440" s="169"/>
      <c r="BJ440" s="169"/>
      <c r="BK440" s="169"/>
      <c r="BL440" s="169"/>
      <c r="BM440" s="169"/>
      <c r="BN440" s="170"/>
      <c r="BO440" s="251"/>
      <c r="BP440" s="364"/>
      <c r="BQ440" s="364"/>
      <c r="BR440" s="364"/>
      <c r="BS440" s="250"/>
      <c r="BT440" s="364"/>
      <c r="BU440" s="364"/>
      <c r="BV440" s="364"/>
      <c r="BW440" s="364"/>
      <c r="BX440" s="364"/>
      <c r="BY440" s="250"/>
    </row>
    <row r="441" spans="3:78" ht="15" customHeight="1" thickBot="1">
      <c r="C441" s="307"/>
      <c r="D441" s="368"/>
      <c r="E441" s="371"/>
      <c r="F441" s="407"/>
      <c r="G441" s="377"/>
      <c r="H441" s="380"/>
      <c r="I441" s="383"/>
      <c r="J441" s="383"/>
      <c r="K441" s="386"/>
      <c r="L441" s="389"/>
      <c r="M441" s="392"/>
      <c r="N441" s="280" t="s">
        <v>380</v>
      </c>
      <c r="O441" s="212"/>
      <c r="P441" s="365" t="s">
        <v>154</v>
      </c>
      <c r="Q441" s="365"/>
      <c r="R441" s="171"/>
      <c r="S441" s="171"/>
      <c r="T441" s="166"/>
      <c r="U441" s="166"/>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c r="BF441" s="166"/>
      <c r="BG441" s="166"/>
      <c r="BH441" s="166"/>
      <c r="BI441" s="166"/>
      <c r="BJ441" s="166"/>
      <c r="BK441" s="166"/>
      <c r="BL441" s="166"/>
      <c r="BM441" s="166"/>
      <c r="BN441" s="167"/>
      <c r="BO441" s="251"/>
      <c r="BP441" s="250"/>
      <c r="BQ441" s="250"/>
      <c r="BR441" s="250"/>
      <c r="BS441" s="250"/>
      <c r="BT441" s="250"/>
      <c r="BU441" s="250"/>
      <c r="BY441" s="250"/>
    </row>
    <row r="442" spans="3:78" ht="11.25" customHeight="1">
      <c r="C442" s="97" t="s">
        <v>1240</v>
      </c>
      <c r="D442" s="366" t="s">
        <v>1348</v>
      </c>
      <c r="E442" s="369" t="s">
        <v>199</v>
      </c>
      <c r="F442" s="405" t="s">
        <v>209</v>
      </c>
      <c r="G442" s="375" t="s">
        <v>1484</v>
      </c>
      <c r="H442" s="378" t="s">
        <v>715</v>
      </c>
      <c r="I442" s="381" t="s">
        <v>715</v>
      </c>
      <c r="J442" s="381" t="s">
        <v>716</v>
      </c>
      <c r="K442" s="384">
        <v>1</v>
      </c>
      <c r="L442" s="387" t="s">
        <v>4</v>
      </c>
      <c r="M442" s="390">
        <v>0</v>
      </c>
      <c r="N442" s="163"/>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1"/>
      <c r="AL442" s="161"/>
      <c r="AM442" s="161"/>
      <c r="AN442" s="161"/>
      <c r="AO442" s="161"/>
      <c r="AP442" s="161"/>
      <c r="AQ442" s="161"/>
      <c r="AR442" s="161"/>
      <c r="AS442" s="161"/>
      <c r="AT442" s="161"/>
      <c r="AU442" s="161"/>
      <c r="AV442" s="161"/>
      <c r="AW442" s="161"/>
      <c r="AX442" s="161"/>
      <c r="AY442" s="161"/>
      <c r="AZ442" s="161"/>
      <c r="BA442" s="161"/>
      <c r="BB442" s="161"/>
      <c r="BC442" s="161"/>
      <c r="BD442" s="161"/>
      <c r="BE442" s="161"/>
      <c r="BF442" s="161"/>
      <c r="BG442" s="161"/>
      <c r="BH442" s="161"/>
      <c r="BI442" s="161"/>
      <c r="BJ442" s="161"/>
      <c r="BK442" s="161"/>
      <c r="BL442" s="161"/>
      <c r="BM442" s="161"/>
      <c r="BN442" s="162"/>
      <c r="BO442" s="251"/>
      <c r="BP442" s="250"/>
      <c r="BQ442" s="250"/>
      <c r="BR442" s="250"/>
      <c r="BS442" s="250"/>
      <c r="BT442" s="250"/>
      <c r="BU442" s="250"/>
      <c r="BY442" s="250"/>
    </row>
    <row r="443" spans="3:78" ht="11.25" customHeight="1">
      <c r="C443" s="306"/>
      <c r="D443" s="367"/>
      <c r="E443" s="370"/>
      <c r="F443" s="406"/>
      <c r="G443" s="376"/>
      <c r="H443" s="379"/>
      <c r="I443" s="382"/>
      <c r="J443" s="382"/>
      <c r="K443" s="385"/>
      <c r="L443" s="388"/>
      <c r="M443" s="391"/>
      <c r="N443" s="393"/>
      <c r="O443" s="396">
        <v>1</v>
      </c>
      <c r="P443" s="399" t="s">
        <v>1297</v>
      </c>
      <c r="Q443" s="402"/>
      <c r="R443" s="361" t="s">
        <v>154</v>
      </c>
      <c r="S443" s="361" t="s">
        <v>154</v>
      </c>
      <c r="T443" s="361" t="s">
        <v>154</v>
      </c>
      <c r="U443" s="361" t="s">
        <v>154</v>
      </c>
      <c r="V443" s="361" t="s">
        <v>154</v>
      </c>
      <c r="W443" s="361" t="s">
        <v>154</v>
      </c>
      <c r="X443" s="361" t="s">
        <v>154</v>
      </c>
      <c r="Y443" s="361" t="s">
        <v>154</v>
      </c>
      <c r="Z443" s="361" t="s">
        <v>154</v>
      </c>
      <c r="AA443" s="361" t="s">
        <v>154</v>
      </c>
      <c r="AB443" s="361" t="s">
        <v>154</v>
      </c>
      <c r="AC443" s="361" t="s">
        <v>154</v>
      </c>
      <c r="AD443" s="361" t="s">
        <v>154</v>
      </c>
      <c r="AE443" s="209"/>
      <c r="AF443" s="220">
        <v>0</v>
      </c>
      <c r="AG443" s="219" t="s">
        <v>308</v>
      </c>
      <c r="AH443" s="219"/>
      <c r="AI443" s="219"/>
      <c r="AJ443" s="219"/>
      <c r="AK443" s="219"/>
      <c r="AL443" s="219"/>
      <c r="AM443" s="219"/>
      <c r="AN443" s="219"/>
      <c r="AO443" s="219"/>
      <c r="AP443" s="164"/>
      <c r="AQ443" s="164"/>
      <c r="AR443" s="164"/>
      <c r="AS443" s="164"/>
      <c r="AT443" s="164"/>
      <c r="AU443" s="164"/>
      <c r="AV443" s="164"/>
      <c r="AW443" s="164"/>
      <c r="AX443" s="164"/>
      <c r="AY443" s="164"/>
      <c r="AZ443" s="164"/>
      <c r="BA443" s="164"/>
      <c r="BB443" s="164"/>
      <c r="BC443" s="164"/>
      <c r="BD443" s="164"/>
      <c r="BE443" s="164"/>
      <c r="BF443" s="164"/>
      <c r="BG443" s="164"/>
      <c r="BH443" s="164"/>
      <c r="BI443" s="164"/>
      <c r="BJ443" s="164"/>
      <c r="BK443" s="164"/>
      <c r="BL443" s="164"/>
      <c r="BM443" s="164"/>
      <c r="BN443" s="165"/>
      <c r="BO443" s="251"/>
      <c r="BP443" s="364" t="s">
        <v>1298</v>
      </c>
      <c r="BQ443" s="364" t="s">
        <v>1298</v>
      </c>
      <c r="BR443" s="364" t="s">
        <v>1298</v>
      </c>
      <c r="BS443" s="250"/>
      <c r="BT443" s="364" t="s">
        <v>1298</v>
      </c>
      <c r="BU443" s="364" t="s">
        <v>1298</v>
      </c>
      <c r="BV443" s="364" t="s">
        <v>1298</v>
      </c>
      <c r="BW443" s="364" t="s">
        <v>1298</v>
      </c>
      <c r="BX443" s="364" t="s">
        <v>1298</v>
      </c>
      <c r="BY443" s="250"/>
    </row>
    <row r="444" spans="3:78" ht="14.25">
      <c r="C444" s="306"/>
      <c r="D444" s="367"/>
      <c r="E444" s="370"/>
      <c r="F444" s="406"/>
      <c r="G444" s="376"/>
      <c r="H444" s="379"/>
      <c r="I444" s="382"/>
      <c r="J444" s="382"/>
      <c r="K444" s="385"/>
      <c r="L444" s="388"/>
      <c r="M444" s="391"/>
      <c r="N444" s="394"/>
      <c r="O444" s="397"/>
      <c r="P444" s="400"/>
      <c r="Q444" s="403"/>
      <c r="R444" s="362"/>
      <c r="S444" s="362"/>
      <c r="T444" s="362"/>
      <c r="U444" s="362"/>
      <c r="V444" s="362"/>
      <c r="W444" s="362"/>
      <c r="X444" s="362"/>
      <c r="Y444" s="362"/>
      <c r="Z444" s="362"/>
      <c r="AA444" s="362"/>
      <c r="AB444" s="362"/>
      <c r="AC444" s="362"/>
      <c r="AD444" s="362"/>
      <c r="AE444" s="193"/>
      <c r="AF444" s="217" t="s">
        <v>268</v>
      </c>
      <c r="AG444" s="158" t="s">
        <v>221</v>
      </c>
      <c r="AH444" s="300" t="s">
        <v>19</v>
      </c>
      <c r="AI444" s="301" t="s">
        <v>154</v>
      </c>
      <c r="AJ444" s="221"/>
      <c r="AK444" s="221"/>
      <c r="AL444" s="221"/>
      <c r="AM444" s="221"/>
      <c r="AN444" s="221"/>
      <c r="AO444" s="221"/>
      <c r="AP444" s="302" t="s">
        <v>19</v>
      </c>
      <c r="AQ444" s="195">
        <f>SUM(AT444,AW444,AZ444,BC444,BF444,BI444,BL444)</f>
        <v>2148.0709445234502</v>
      </c>
      <c r="AR444" s="197">
        <f>SUM(AT444,AX444,BA444,BD444,BG444,BJ444,BM444)</f>
        <v>0</v>
      </c>
      <c r="AS444" s="195">
        <f>AQ444-AR444</f>
        <v>2148.0709445234502</v>
      </c>
      <c r="AT444" s="312"/>
      <c r="AU444" s="312"/>
      <c r="AV444" s="244"/>
      <c r="AW444" s="159"/>
      <c r="AX444" s="312"/>
      <c r="AY444" s="194">
        <f>AW444-AX444</f>
        <v>0</v>
      </c>
      <c r="AZ444" s="160">
        <v>2148.0709445234502</v>
      </c>
      <c r="BA444" s="312"/>
      <c r="BB444" s="194">
        <f>AZ444-BA444</f>
        <v>2148.0709445234502</v>
      </c>
      <c r="BC444" s="159"/>
      <c r="BD444" s="312"/>
      <c r="BE444" s="194">
        <f>BC444-BD444</f>
        <v>0</v>
      </c>
      <c r="BF444" s="159"/>
      <c r="BG444" s="244"/>
      <c r="BH444" s="194">
        <f>BF444-BG444</f>
        <v>0</v>
      </c>
      <c r="BI444" s="159"/>
      <c r="BJ444" s="244"/>
      <c r="BK444" s="194">
        <f>BI444-BJ444</f>
        <v>0</v>
      </c>
      <c r="BL444" s="312"/>
      <c r="BM444" s="312"/>
      <c r="BN444" s="195">
        <f>BL444-BM444</f>
        <v>0</v>
      </c>
      <c r="BO444" s="251">
        <v>0</v>
      </c>
      <c r="BP444" s="364"/>
      <c r="BQ444" s="364"/>
      <c r="BR444" s="364"/>
      <c r="BS444" s="249" t="str">
        <f>AG444 &amp; BO444</f>
        <v>Амортизационные отчисления0</v>
      </c>
      <c r="BT444" s="364"/>
      <c r="BU444" s="364"/>
      <c r="BV444" s="364"/>
      <c r="BW444" s="364"/>
      <c r="BX444" s="364"/>
      <c r="BY444" s="249" t="str">
        <f>AG444&amp;AH444</f>
        <v>Амортизационные отчислениянет</v>
      </c>
      <c r="BZ444" s="250"/>
    </row>
    <row r="445" spans="3:78" ht="14.25">
      <c r="C445" s="97"/>
      <c r="D445" s="367"/>
      <c r="E445" s="370"/>
      <c r="F445" s="406"/>
      <c r="G445" s="376"/>
      <c r="H445" s="379"/>
      <c r="I445" s="382"/>
      <c r="J445" s="382"/>
      <c r="K445" s="385"/>
      <c r="L445" s="388"/>
      <c r="M445" s="391"/>
      <c r="N445" s="394"/>
      <c r="O445" s="397"/>
      <c r="P445" s="400"/>
      <c r="Q445" s="403"/>
      <c r="R445" s="362"/>
      <c r="S445" s="362"/>
      <c r="T445" s="362"/>
      <c r="U445" s="362"/>
      <c r="V445" s="362"/>
      <c r="W445" s="362"/>
      <c r="X445" s="362"/>
      <c r="Y445" s="362"/>
      <c r="Z445" s="362"/>
      <c r="AA445" s="362"/>
      <c r="AB445" s="362"/>
      <c r="AC445" s="362"/>
      <c r="AD445" s="362"/>
      <c r="AE445" s="322" t="s">
        <v>1240</v>
      </c>
      <c r="AF445" s="217" t="s">
        <v>118</v>
      </c>
      <c r="AG445" s="196" t="s">
        <v>223</v>
      </c>
      <c r="AH445" s="302" t="s">
        <v>19</v>
      </c>
      <c r="AI445" s="301" t="s">
        <v>154</v>
      </c>
      <c r="AJ445" s="221"/>
      <c r="AK445" s="221"/>
      <c r="AL445" s="221"/>
      <c r="AM445" s="221"/>
      <c r="AN445" s="221"/>
      <c r="AO445" s="221"/>
      <c r="AP445" s="302" t="s">
        <v>19</v>
      </c>
      <c r="AQ445" s="195">
        <f>SUM(AT445,AW445,AZ445,BC445,BF445,BI445,BL445)</f>
        <v>429.61418890468985</v>
      </c>
      <c r="AR445" s="197">
        <f>SUM(AT445,AX445,BA445,BD445,BG445,BJ445,BM445)</f>
        <v>0</v>
      </c>
      <c r="AS445" s="195">
        <f>AQ445-AR445</f>
        <v>429.61418890468985</v>
      </c>
      <c r="AT445" s="315"/>
      <c r="AU445" s="315"/>
      <c r="AV445" s="241"/>
      <c r="AW445" s="198"/>
      <c r="AX445" s="313"/>
      <c r="AY445" s="199">
        <f>AW445-AX445</f>
        <v>0</v>
      </c>
      <c r="AZ445" s="173">
        <f>2577.68513342814-AZ444</f>
        <v>429.61418890468985</v>
      </c>
      <c r="BA445" s="313"/>
      <c r="BB445" s="199">
        <f>AZ445-BA445</f>
        <v>429.61418890468985</v>
      </c>
      <c r="BC445" s="198"/>
      <c r="BD445" s="313"/>
      <c r="BE445" s="199">
        <f>BC445-BD445</f>
        <v>0</v>
      </c>
      <c r="BF445" s="198"/>
      <c r="BG445" s="241"/>
      <c r="BH445" s="199">
        <f>BF445-BG445</f>
        <v>0</v>
      </c>
      <c r="BI445" s="198"/>
      <c r="BJ445" s="241"/>
      <c r="BK445" s="199">
        <f>BI445-BJ445</f>
        <v>0</v>
      </c>
      <c r="BL445" s="313"/>
      <c r="BM445" s="313"/>
      <c r="BN445" s="195">
        <f>BL445-BM445</f>
        <v>0</v>
      </c>
      <c r="BO445" s="251">
        <v>0</v>
      </c>
      <c r="BP445" s="364"/>
      <c r="BQ445" s="364"/>
      <c r="BR445" s="364"/>
      <c r="BS445" s="249" t="str">
        <f>AG445 &amp; BO445</f>
        <v>Прочие собственные средства0</v>
      </c>
      <c r="BT445" s="364"/>
      <c r="BU445" s="364"/>
      <c r="BV445" s="364"/>
      <c r="BW445" s="364"/>
      <c r="BX445" s="364"/>
      <c r="BY445" s="249" t="str">
        <f>AG445&amp;AH445</f>
        <v>Прочие собственные средстванет</v>
      </c>
      <c r="BZ445" s="250"/>
    </row>
    <row r="446" spans="3:78" ht="15" customHeight="1">
      <c r="C446" s="306"/>
      <c r="D446" s="367"/>
      <c r="E446" s="370"/>
      <c r="F446" s="406"/>
      <c r="G446" s="376"/>
      <c r="H446" s="379"/>
      <c r="I446" s="382"/>
      <c r="J446" s="382"/>
      <c r="K446" s="385"/>
      <c r="L446" s="388"/>
      <c r="M446" s="391"/>
      <c r="N446" s="395"/>
      <c r="O446" s="398"/>
      <c r="P446" s="401"/>
      <c r="Q446" s="404"/>
      <c r="R446" s="363"/>
      <c r="S446" s="363"/>
      <c r="T446" s="363"/>
      <c r="U446" s="363"/>
      <c r="V446" s="363"/>
      <c r="W446" s="363"/>
      <c r="X446" s="363"/>
      <c r="Y446" s="363"/>
      <c r="Z446" s="363"/>
      <c r="AA446" s="363"/>
      <c r="AB446" s="363"/>
      <c r="AC446" s="363"/>
      <c r="AD446" s="363"/>
      <c r="AE446" s="279" t="s">
        <v>379</v>
      </c>
      <c r="AF446" s="203"/>
      <c r="AG446" s="223" t="s">
        <v>24</v>
      </c>
      <c r="AH446" s="223"/>
      <c r="AI446" s="223"/>
      <c r="AJ446" s="223"/>
      <c r="AK446" s="223"/>
      <c r="AL446" s="223"/>
      <c r="AM446" s="223"/>
      <c r="AN446" s="223"/>
      <c r="AO446" s="223"/>
      <c r="AP446" s="168"/>
      <c r="AQ446" s="169"/>
      <c r="AR446" s="169"/>
      <c r="AS446" s="169"/>
      <c r="AT446" s="169"/>
      <c r="AU446" s="169"/>
      <c r="AV446" s="169"/>
      <c r="AW446" s="169"/>
      <c r="AX446" s="169"/>
      <c r="AY446" s="169"/>
      <c r="AZ446" s="169"/>
      <c r="BA446" s="169"/>
      <c r="BB446" s="169"/>
      <c r="BC446" s="169"/>
      <c r="BD446" s="169"/>
      <c r="BE446" s="169"/>
      <c r="BF446" s="169"/>
      <c r="BG446" s="169"/>
      <c r="BH446" s="169"/>
      <c r="BI446" s="169"/>
      <c r="BJ446" s="169"/>
      <c r="BK446" s="169"/>
      <c r="BL446" s="169"/>
      <c r="BM446" s="169"/>
      <c r="BN446" s="170"/>
      <c r="BO446" s="251"/>
      <c r="BP446" s="364"/>
      <c r="BQ446" s="364"/>
      <c r="BR446" s="364"/>
      <c r="BS446" s="250"/>
      <c r="BT446" s="364"/>
      <c r="BU446" s="364"/>
      <c r="BV446" s="364"/>
      <c r="BW446" s="364"/>
      <c r="BX446" s="364"/>
      <c r="BY446" s="250"/>
    </row>
    <row r="447" spans="3:78" ht="15" customHeight="1" thickBot="1">
      <c r="C447" s="307"/>
      <c r="D447" s="368"/>
      <c r="E447" s="371"/>
      <c r="F447" s="407"/>
      <c r="G447" s="377"/>
      <c r="H447" s="380"/>
      <c r="I447" s="383"/>
      <c r="J447" s="383"/>
      <c r="K447" s="386"/>
      <c r="L447" s="389"/>
      <c r="M447" s="392"/>
      <c r="N447" s="280" t="s">
        <v>380</v>
      </c>
      <c r="O447" s="212"/>
      <c r="P447" s="365" t="s">
        <v>154</v>
      </c>
      <c r="Q447" s="365"/>
      <c r="R447" s="171"/>
      <c r="S447" s="171"/>
      <c r="T447" s="166"/>
      <c r="U447" s="166"/>
      <c r="V447" s="166"/>
      <c r="W447" s="166"/>
      <c r="X447" s="166"/>
      <c r="Y447" s="166"/>
      <c r="Z447" s="166"/>
      <c r="AA447" s="166"/>
      <c r="AB447" s="166"/>
      <c r="AC447" s="166"/>
      <c r="AD447" s="166"/>
      <c r="AE447" s="166"/>
      <c r="AF447" s="166"/>
      <c r="AG447" s="166"/>
      <c r="AH447" s="166"/>
      <c r="AI447" s="166"/>
      <c r="AJ447" s="166"/>
      <c r="AK447" s="166"/>
      <c r="AL447" s="166"/>
      <c r="AM447" s="166"/>
      <c r="AN447" s="166"/>
      <c r="AO447" s="166"/>
      <c r="AP447" s="166"/>
      <c r="AQ447" s="166"/>
      <c r="AR447" s="166"/>
      <c r="AS447" s="166"/>
      <c r="AT447" s="166"/>
      <c r="AU447" s="166"/>
      <c r="AV447" s="166"/>
      <c r="AW447" s="166"/>
      <c r="AX447" s="166"/>
      <c r="AY447" s="166"/>
      <c r="AZ447" s="166"/>
      <c r="BA447" s="166"/>
      <c r="BB447" s="166"/>
      <c r="BC447" s="166"/>
      <c r="BD447" s="166"/>
      <c r="BE447" s="166"/>
      <c r="BF447" s="166"/>
      <c r="BG447" s="166"/>
      <c r="BH447" s="166"/>
      <c r="BI447" s="166"/>
      <c r="BJ447" s="166"/>
      <c r="BK447" s="166"/>
      <c r="BL447" s="166"/>
      <c r="BM447" s="166"/>
      <c r="BN447" s="167"/>
      <c r="BO447" s="251"/>
      <c r="BP447" s="250"/>
      <c r="BQ447" s="250"/>
      <c r="BR447" s="250"/>
      <c r="BS447" s="250"/>
      <c r="BT447" s="250"/>
      <c r="BU447" s="250"/>
      <c r="BY447" s="250"/>
    </row>
    <row r="448" spans="3:78" ht="11.25" customHeight="1">
      <c r="C448" s="97" t="s">
        <v>1240</v>
      </c>
      <c r="D448" s="366" t="s">
        <v>1349</v>
      </c>
      <c r="E448" s="369" t="s">
        <v>199</v>
      </c>
      <c r="F448" s="405" t="s">
        <v>209</v>
      </c>
      <c r="G448" s="375" t="s">
        <v>1485</v>
      </c>
      <c r="H448" s="378" t="s">
        <v>715</v>
      </c>
      <c r="I448" s="381" t="s">
        <v>715</v>
      </c>
      <c r="J448" s="381" t="s">
        <v>716</v>
      </c>
      <c r="K448" s="384">
        <v>1</v>
      </c>
      <c r="L448" s="387" t="s">
        <v>4</v>
      </c>
      <c r="M448" s="390">
        <v>0</v>
      </c>
      <c r="N448" s="163"/>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c r="AX448" s="161"/>
      <c r="AY448" s="161"/>
      <c r="AZ448" s="161"/>
      <c r="BA448" s="161"/>
      <c r="BB448" s="161"/>
      <c r="BC448" s="161"/>
      <c r="BD448" s="161"/>
      <c r="BE448" s="161"/>
      <c r="BF448" s="161"/>
      <c r="BG448" s="161"/>
      <c r="BH448" s="161"/>
      <c r="BI448" s="161"/>
      <c r="BJ448" s="161"/>
      <c r="BK448" s="161"/>
      <c r="BL448" s="161"/>
      <c r="BM448" s="161"/>
      <c r="BN448" s="162"/>
      <c r="BO448" s="251"/>
      <c r="BP448" s="250"/>
      <c r="BQ448" s="250"/>
      <c r="BR448" s="250"/>
      <c r="BS448" s="250"/>
      <c r="BT448" s="250"/>
      <c r="BU448" s="250"/>
      <c r="BY448" s="250"/>
    </row>
    <row r="449" spans="3:78" ht="11.25" customHeight="1">
      <c r="C449" s="306"/>
      <c r="D449" s="367"/>
      <c r="E449" s="370"/>
      <c r="F449" s="406"/>
      <c r="G449" s="376"/>
      <c r="H449" s="379"/>
      <c r="I449" s="382"/>
      <c r="J449" s="382"/>
      <c r="K449" s="385"/>
      <c r="L449" s="388"/>
      <c r="M449" s="391"/>
      <c r="N449" s="393"/>
      <c r="O449" s="396">
        <v>1</v>
      </c>
      <c r="P449" s="399" t="s">
        <v>1297</v>
      </c>
      <c r="Q449" s="402"/>
      <c r="R449" s="361" t="s">
        <v>154</v>
      </c>
      <c r="S449" s="361" t="s">
        <v>154</v>
      </c>
      <c r="T449" s="361" t="s">
        <v>154</v>
      </c>
      <c r="U449" s="361" t="s">
        <v>154</v>
      </c>
      <c r="V449" s="361" t="s">
        <v>154</v>
      </c>
      <c r="W449" s="361" t="s">
        <v>154</v>
      </c>
      <c r="X449" s="361" t="s">
        <v>154</v>
      </c>
      <c r="Y449" s="361" t="s">
        <v>154</v>
      </c>
      <c r="Z449" s="361" t="s">
        <v>154</v>
      </c>
      <c r="AA449" s="361" t="s">
        <v>154</v>
      </c>
      <c r="AB449" s="361" t="s">
        <v>154</v>
      </c>
      <c r="AC449" s="361" t="s">
        <v>154</v>
      </c>
      <c r="AD449" s="361" t="s">
        <v>154</v>
      </c>
      <c r="AE449" s="209"/>
      <c r="AF449" s="220">
        <v>0</v>
      </c>
      <c r="AG449" s="219" t="s">
        <v>308</v>
      </c>
      <c r="AH449" s="219"/>
      <c r="AI449" s="219"/>
      <c r="AJ449" s="219"/>
      <c r="AK449" s="219"/>
      <c r="AL449" s="219"/>
      <c r="AM449" s="219"/>
      <c r="AN449" s="219"/>
      <c r="AO449" s="219"/>
      <c r="AP449" s="164"/>
      <c r="AQ449" s="164"/>
      <c r="AR449" s="164"/>
      <c r="AS449" s="164"/>
      <c r="AT449" s="164"/>
      <c r="AU449" s="164"/>
      <c r="AV449" s="164"/>
      <c r="AW449" s="164"/>
      <c r="AX449" s="164"/>
      <c r="AY449" s="164"/>
      <c r="AZ449" s="164"/>
      <c r="BA449" s="164"/>
      <c r="BB449" s="164"/>
      <c r="BC449" s="164"/>
      <c r="BD449" s="164"/>
      <c r="BE449" s="164"/>
      <c r="BF449" s="164"/>
      <c r="BG449" s="164"/>
      <c r="BH449" s="164"/>
      <c r="BI449" s="164"/>
      <c r="BJ449" s="164"/>
      <c r="BK449" s="164"/>
      <c r="BL449" s="164"/>
      <c r="BM449" s="164"/>
      <c r="BN449" s="165"/>
      <c r="BO449" s="251"/>
      <c r="BP449" s="364" t="s">
        <v>1298</v>
      </c>
      <c r="BQ449" s="364" t="s">
        <v>1298</v>
      </c>
      <c r="BR449" s="364" t="s">
        <v>1298</v>
      </c>
      <c r="BS449" s="250"/>
      <c r="BT449" s="364" t="s">
        <v>1298</v>
      </c>
      <c r="BU449" s="364" t="s">
        <v>1298</v>
      </c>
      <c r="BV449" s="364" t="s">
        <v>1298</v>
      </c>
      <c r="BW449" s="364" t="s">
        <v>1298</v>
      </c>
      <c r="BX449" s="364" t="s">
        <v>1298</v>
      </c>
      <c r="BY449" s="250"/>
    </row>
    <row r="450" spans="3:78" ht="14.25">
      <c r="C450" s="306"/>
      <c r="D450" s="367"/>
      <c r="E450" s="370"/>
      <c r="F450" s="406"/>
      <c r="G450" s="376"/>
      <c r="H450" s="379"/>
      <c r="I450" s="382"/>
      <c r="J450" s="382"/>
      <c r="K450" s="385"/>
      <c r="L450" s="388"/>
      <c r="M450" s="391"/>
      <c r="N450" s="394"/>
      <c r="O450" s="397"/>
      <c r="P450" s="400"/>
      <c r="Q450" s="403"/>
      <c r="R450" s="362"/>
      <c r="S450" s="362"/>
      <c r="T450" s="362"/>
      <c r="U450" s="362"/>
      <c r="V450" s="362"/>
      <c r="W450" s="362"/>
      <c r="X450" s="362"/>
      <c r="Y450" s="362"/>
      <c r="Z450" s="362"/>
      <c r="AA450" s="362"/>
      <c r="AB450" s="362"/>
      <c r="AC450" s="362"/>
      <c r="AD450" s="362"/>
      <c r="AE450" s="193"/>
      <c r="AF450" s="217" t="s">
        <v>268</v>
      </c>
      <c r="AG450" s="158" t="s">
        <v>221</v>
      </c>
      <c r="AH450" s="300" t="s">
        <v>19</v>
      </c>
      <c r="AI450" s="301" t="s">
        <v>154</v>
      </c>
      <c r="AJ450" s="221"/>
      <c r="AK450" s="221"/>
      <c r="AL450" s="221"/>
      <c r="AM450" s="221"/>
      <c r="AN450" s="221"/>
      <c r="AO450" s="221"/>
      <c r="AP450" s="302" t="s">
        <v>19</v>
      </c>
      <c r="AQ450" s="195">
        <f>SUM(AT450,AW450,AZ450,BC450,BF450,BI450,BL450)</f>
        <v>1240.1579511346001</v>
      </c>
      <c r="AR450" s="197">
        <f>SUM(AT450,AX450,BA450,BD450,BG450,BJ450,BM450)</f>
        <v>0</v>
      </c>
      <c r="AS450" s="195">
        <f>AQ450-AR450</f>
        <v>1240.1579511346001</v>
      </c>
      <c r="AT450" s="312"/>
      <c r="AU450" s="312"/>
      <c r="AV450" s="244"/>
      <c r="AW450" s="159"/>
      <c r="AX450" s="312"/>
      <c r="AY450" s="194">
        <f>AW450-AX450</f>
        <v>0</v>
      </c>
      <c r="AZ450" s="160">
        <v>1240.1579511346001</v>
      </c>
      <c r="BA450" s="312"/>
      <c r="BB450" s="194">
        <f>AZ450-BA450</f>
        <v>1240.1579511346001</v>
      </c>
      <c r="BC450" s="159"/>
      <c r="BD450" s="312"/>
      <c r="BE450" s="194">
        <f>BC450-BD450</f>
        <v>0</v>
      </c>
      <c r="BF450" s="159"/>
      <c r="BG450" s="244"/>
      <c r="BH450" s="194">
        <f>BF450-BG450</f>
        <v>0</v>
      </c>
      <c r="BI450" s="159"/>
      <c r="BJ450" s="244"/>
      <c r="BK450" s="194">
        <f>BI450-BJ450</f>
        <v>0</v>
      </c>
      <c r="BL450" s="312"/>
      <c r="BM450" s="312"/>
      <c r="BN450" s="195">
        <f>BL450-BM450</f>
        <v>0</v>
      </c>
      <c r="BO450" s="251">
        <v>0</v>
      </c>
      <c r="BP450" s="364"/>
      <c r="BQ450" s="364"/>
      <c r="BR450" s="364"/>
      <c r="BS450" s="249" t="str">
        <f>AG450 &amp; BO450</f>
        <v>Амортизационные отчисления0</v>
      </c>
      <c r="BT450" s="364"/>
      <c r="BU450" s="364"/>
      <c r="BV450" s="364"/>
      <c r="BW450" s="364"/>
      <c r="BX450" s="364"/>
      <c r="BY450" s="249" t="str">
        <f>AG450&amp;AH450</f>
        <v>Амортизационные отчислениянет</v>
      </c>
      <c r="BZ450" s="250"/>
    </row>
    <row r="451" spans="3:78" ht="14.25">
      <c r="C451" s="97"/>
      <c r="D451" s="367"/>
      <c r="E451" s="370"/>
      <c r="F451" s="406"/>
      <c r="G451" s="376"/>
      <c r="H451" s="379"/>
      <c r="I451" s="382"/>
      <c r="J451" s="382"/>
      <c r="K451" s="385"/>
      <c r="L451" s="388"/>
      <c r="M451" s="391"/>
      <c r="N451" s="394"/>
      <c r="O451" s="397"/>
      <c r="P451" s="400"/>
      <c r="Q451" s="403"/>
      <c r="R451" s="362"/>
      <c r="S451" s="362"/>
      <c r="T451" s="362"/>
      <c r="U451" s="362"/>
      <c r="V451" s="362"/>
      <c r="W451" s="362"/>
      <c r="X451" s="362"/>
      <c r="Y451" s="362"/>
      <c r="Z451" s="362"/>
      <c r="AA451" s="362"/>
      <c r="AB451" s="362"/>
      <c r="AC451" s="362"/>
      <c r="AD451" s="362"/>
      <c r="AE451" s="322" t="s">
        <v>1240</v>
      </c>
      <c r="AF451" s="217" t="s">
        <v>118</v>
      </c>
      <c r="AG451" s="196" t="s">
        <v>223</v>
      </c>
      <c r="AH451" s="302" t="s">
        <v>19</v>
      </c>
      <c r="AI451" s="301" t="s">
        <v>154</v>
      </c>
      <c r="AJ451" s="221"/>
      <c r="AK451" s="221"/>
      <c r="AL451" s="221"/>
      <c r="AM451" s="221"/>
      <c r="AN451" s="221"/>
      <c r="AO451" s="221"/>
      <c r="AP451" s="302" t="s">
        <v>19</v>
      </c>
      <c r="AQ451" s="195">
        <f>SUM(AT451,AW451,AZ451,BC451,BF451,BI451,BL451)</f>
        <v>248.03159022691989</v>
      </c>
      <c r="AR451" s="197">
        <f>SUM(AT451,AX451,BA451,BD451,BG451,BJ451,BM451)</f>
        <v>0</v>
      </c>
      <c r="AS451" s="195">
        <f>AQ451-AR451</f>
        <v>248.03159022691989</v>
      </c>
      <c r="AT451" s="315"/>
      <c r="AU451" s="315"/>
      <c r="AV451" s="241"/>
      <c r="AW451" s="198"/>
      <c r="AX451" s="313"/>
      <c r="AY451" s="199">
        <f>AW451-AX451</f>
        <v>0</v>
      </c>
      <c r="AZ451" s="173">
        <f>1488.18954136152-AZ450</f>
        <v>248.03159022691989</v>
      </c>
      <c r="BA451" s="313"/>
      <c r="BB451" s="199">
        <f>AZ451-BA451</f>
        <v>248.03159022691989</v>
      </c>
      <c r="BC451" s="198"/>
      <c r="BD451" s="313"/>
      <c r="BE451" s="199">
        <f>BC451-BD451</f>
        <v>0</v>
      </c>
      <c r="BF451" s="198"/>
      <c r="BG451" s="241"/>
      <c r="BH451" s="199">
        <f>BF451-BG451</f>
        <v>0</v>
      </c>
      <c r="BI451" s="198"/>
      <c r="BJ451" s="241"/>
      <c r="BK451" s="199">
        <f>BI451-BJ451</f>
        <v>0</v>
      </c>
      <c r="BL451" s="313"/>
      <c r="BM451" s="313"/>
      <c r="BN451" s="195">
        <f>BL451-BM451</f>
        <v>0</v>
      </c>
      <c r="BO451" s="251">
        <v>0</v>
      </c>
      <c r="BP451" s="364"/>
      <c r="BQ451" s="364"/>
      <c r="BR451" s="364"/>
      <c r="BS451" s="249" t="str">
        <f>AG451 &amp; BO451</f>
        <v>Прочие собственные средства0</v>
      </c>
      <c r="BT451" s="364"/>
      <c r="BU451" s="364"/>
      <c r="BV451" s="364"/>
      <c r="BW451" s="364"/>
      <c r="BX451" s="364"/>
      <c r="BY451" s="249" t="str">
        <f>AG451&amp;AH451</f>
        <v>Прочие собственные средстванет</v>
      </c>
      <c r="BZ451" s="250"/>
    </row>
    <row r="452" spans="3:78" ht="15" customHeight="1">
      <c r="C452" s="306"/>
      <c r="D452" s="367"/>
      <c r="E452" s="370"/>
      <c r="F452" s="406"/>
      <c r="G452" s="376"/>
      <c r="H452" s="379"/>
      <c r="I452" s="382"/>
      <c r="J452" s="382"/>
      <c r="K452" s="385"/>
      <c r="L452" s="388"/>
      <c r="M452" s="391"/>
      <c r="N452" s="395"/>
      <c r="O452" s="398"/>
      <c r="P452" s="401"/>
      <c r="Q452" s="404"/>
      <c r="R452" s="363"/>
      <c r="S452" s="363"/>
      <c r="T452" s="363"/>
      <c r="U452" s="363"/>
      <c r="V452" s="363"/>
      <c r="W452" s="363"/>
      <c r="X452" s="363"/>
      <c r="Y452" s="363"/>
      <c r="Z452" s="363"/>
      <c r="AA452" s="363"/>
      <c r="AB452" s="363"/>
      <c r="AC452" s="363"/>
      <c r="AD452" s="363"/>
      <c r="AE452" s="279" t="s">
        <v>379</v>
      </c>
      <c r="AF452" s="203"/>
      <c r="AG452" s="223" t="s">
        <v>24</v>
      </c>
      <c r="AH452" s="223"/>
      <c r="AI452" s="223"/>
      <c r="AJ452" s="223"/>
      <c r="AK452" s="223"/>
      <c r="AL452" s="223"/>
      <c r="AM452" s="223"/>
      <c r="AN452" s="223"/>
      <c r="AO452" s="223"/>
      <c r="AP452" s="168"/>
      <c r="AQ452" s="169"/>
      <c r="AR452" s="169"/>
      <c r="AS452" s="169"/>
      <c r="AT452" s="169"/>
      <c r="AU452" s="169"/>
      <c r="AV452" s="169"/>
      <c r="AW452" s="169"/>
      <c r="AX452" s="169"/>
      <c r="AY452" s="169"/>
      <c r="AZ452" s="169"/>
      <c r="BA452" s="169"/>
      <c r="BB452" s="169"/>
      <c r="BC452" s="169"/>
      <c r="BD452" s="169"/>
      <c r="BE452" s="169"/>
      <c r="BF452" s="169"/>
      <c r="BG452" s="169"/>
      <c r="BH452" s="169"/>
      <c r="BI452" s="169"/>
      <c r="BJ452" s="169"/>
      <c r="BK452" s="169"/>
      <c r="BL452" s="169"/>
      <c r="BM452" s="169"/>
      <c r="BN452" s="170"/>
      <c r="BO452" s="251"/>
      <c r="BP452" s="364"/>
      <c r="BQ452" s="364"/>
      <c r="BR452" s="364"/>
      <c r="BS452" s="250"/>
      <c r="BT452" s="364"/>
      <c r="BU452" s="364"/>
      <c r="BV452" s="364"/>
      <c r="BW452" s="364"/>
      <c r="BX452" s="364"/>
      <c r="BY452" s="250"/>
    </row>
    <row r="453" spans="3:78" ht="15" customHeight="1" thickBot="1">
      <c r="C453" s="307"/>
      <c r="D453" s="368"/>
      <c r="E453" s="371"/>
      <c r="F453" s="407"/>
      <c r="G453" s="377"/>
      <c r="H453" s="380"/>
      <c r="I453" s="383"/>
      <c r="J453" s="383"/>
      <c r="K453" s="386"/>
      <c r="L453" s="389"/>
      <c r="M453" s="392"/>
      <c r="N453" s="280" t="s">
        <v>380</v>
      </c>
      <c r="O453" s="212"/>
      <c r="P453" s="365" t="s">
        <v>154</v>
      </c>
      <c r="Q453" s="365"/>
      <c r="R453" s="171"/>
      <c r="S453" s="171"/>
      <c r="T453" s="166"/>
      <c r="U453" s="166"/>
      <c r="V453" s="166"/>
      <c r="W453" s="166"/>
      <c r="X453" s="166"/>
      <c r="Y453" s="166"/>
      <c r="Z453" s="166"/>
      <c r="AA453" s="166"/>
      <c r="AB453" s="166"/>
      <c r="AC453" s="166"/>
      <c r="AD453" s="166"/>
      <c r="AE453" s="166"/>
      <c r="AF453" s="166"/>
      <c r="AG453" s="166"/>
      <c r="AH453" s="166"/>
      <c r="AI453" s="166"/>
      <c r="AJ453" s="166"/>
      <c r="AK453" s="166"/>
      <c r="AL453" s="166"/>
      <c r="AM453" s="166"/>
      <c r="AN453" s="166"/>
      <c r="AO453" s="166"/>
      <c r="AP453" s="166"/>
      <c r="AQ453" s="166"/>
      <c r="AR453" s="166"/>
      <c r="AS453" s="166"/>
      <c r="AT453" s="166"/>
      <c r="AU453" s="166"/>
      <c r="AV453" s="166"/>
      <c r="AW453" s="166"/>
      <c r="AX453" s="166"/>
      <c r="AY453" s="166"/>
      <c r="AZ453" s="166"/>
      <c r="BA453" s="166"/>
      <c r="BB453" s="166"/>
      <c r="BC453" s="166"/>
      <c r="BD453" s="166"/>
      <c r="BE453" s="166"/>
      <c r="BF453" s="166"/>
      <c r="BG453" s="166"/>
      <c r="BH453" s="166"/>
      <c r="BI453" s="166"/>
      <c r="BJ453" s="166"/>
      <c r="BK453" s="166"/>
      <c r="BL453" s="166"/>
      <c r="BM453" s="166"/>
      <c r="BN453" s="167"/>
      <c r="BO453" s="251"/>
      <c r="BP453" s="250"/>
      <c r="BQ453" s="250"/>
      <c r="BR453" s="250"/>
      <c r="BS453" s="250"/>
      <c r="BT453" s="250"/>
      <c r="BU453" s="250"/>
      <c r="BY453" s="250"/>
    </row>
    <row r="454" spans="3:78" ht="11.25" customHeight="1">
      <c r="C454" s="97" t="s">
        <v>1240</v>
      </c>
      <c r="D454" s="366" t="s">
        <v>1350</v>
      </c>
      <c r="E454" s="369" t="s">
        <v>199</v>
      </c>
      <c r="F454" s="405" t="s">
        <v>209</v>
      </c>
      <c r="G454" s="375" t="s">
        <v>1486</v>
      </c>
      <c r="H454" s="378" t="s">
        <v>715</v>
      </c>
      <c r="I454" s="381" t="s">
        <v>715</v>
      </c>
      <c r="J454" s="381" t="s">
        <v>716</v>
      </c>
      <c r="K454" s="384">
        <v>1</v>
      </c>
      <c r="L454" s="387" t="s">
        <v>4</v>
      </c>
      <c r="M454" s="390">
        <v>0</v>
      </c>
      <c r="N454" s="163"/>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1"/>
      <c r="AL454" s="161"/>
      <c r="AM454" s="161"/>
      <c r="AN454" s="161"/>
      <c r="AO454" s="161"/>
      <c r="AP454" s="161"/>
      <c r="AQ454" s="161"/>
      <c r="AR454" s="161"/>
      <c r="AS454" s="161"/>
      <c r="AT454" s="161"/>
      <c r="AU454" s="161"/>
      <c r="AV454" s="161"/>
      <c r="AW454" s="161"/>
      <c r="AX454" s="161"/>
      <c r="AY454" s="161"/>
      <c r="AZ454" s="161"/>
      <c r="BA454" s="161"/>
      <c r="BB454" s="161"/>
      <c r="BC454" s="161"/>
      <c r="BD454" s="161"/>
      <c r="BE454" s="161"/>
      <c r="BF454" s="161"/>
      <c r="BG454" s="161"/>
      <c r="BH454" s="161"/>
      <c r="BI454" s="161"/>
      <c r="BJ454" s="161"/>
      <c r="BK454" s="161"/>
      <c r="BL454" s="161"/>
      <c r="BM454" s="161"/>
      <c r="BN454" s="162"/>
      <c r="BO454" s="251"/>
      <c r="BP454" s="250"/>
      <c r="BQ454" s="250"/>
      <c r="BR454" s="250"/>
      <c r="BS454" s="250"/>
      <c r="BT454" s="250"/>
      <c r="BU454" s="250"/>
      <c r="BY454" s="250"/>
    </row>
    <row r="455" spans="3:78" ht="11.25" customHeight="1">
      <c r="C455" s="306"/>
      <c r="D455" s="367"/>
      <c r="E455" s="370"/>
      <c r="F455" s="406"/>
      <c r="G455" s="376"/>
      <c r="H455" s="379"/>
      <c r="I455" s="382"/>
      <c r="J455" s="382"/>
      <c r="K455" s="385"/>
      <c r="L455" s="388"/>
      <c r="M455" s="391"/>
      <c r="N455" s="393"/>
      <c r="O455" s="396">
        <v>1</v>
      </c>
      <c r="P455" s="399" t="s">
        <v>1297</v>
      </c>
      <c r="Q455" s="402"/>
      <c r="R455" s="361" t="s">
        <v>154</v>
      </c>
      <c r="S455" s="361" t="s">
        <v>154</v>
      </c>
      <c r="T455" s="361" t="s">
        <v>154</v>
      </c>
      <c r="U455" s="361" t="s">
        <v>154</v>
      </c>
      <c r="V455" s="361" t="s">
        <v>154</v>
      </c>
      <c r="W455" s="361" t="s">
        <v>154</v>
      </c>
      <c r="X455" s="361" t="s">
        <v>154</v>
      </c>
      <c r="Y455" s="361" t="s">
        <v>154</v>
      </c>
      <c r="Z455" s="361" t="s">
        <v>154</v>
      </c>
      <c r="AA455" s="361" t="s">
        <v>154</v>
      </c>
      <c r="AB455" s="361" t="s">
        <v>154</v>
      </c>
      <c r="AC455" s="361" t="s">
        <v>154</v>
      </c>
      <c r="AD455" s="361" t="s">
        <v>154</v>
      </c>
      <c r="AE455" s="209"/>
      <c r="AF455" s="220">
        <v>0</v>
      </c>
      <c r="AG455" s="219" t="s">
        <v>308</v>
      </c>
      <c r="AH455" s="219"/>
      <c r="AI455" s="219"/>
      <c r="AJ455" s="219"/>
      <c r="AK455" s="219"/>
      <c r="AL455" s="219"/>
      <c r="AM455" s="219"/>
      <c r="AN455" s="219"/>
      <c r="AO455" s="219"/>
      <c r="AP455" s="164"/>
      <c r="AQ455" s="164"/>
      <c r="AR455" s="164"/>
      <c r="AS455" s="164"/>
      <c r="AT455" s="164"/>
      <c r="AU455" s="164"/>
      <c r="AV455" s="164"/>
      <c r="AW455" s="164"/>
      <c r="AX455" s="164"/>
      <c r="AY455" s="164"/>
      <c r="AZ455" s="164"/>
      <c r="BA455" s="164"/>
      <c r="BB455" s="164"/>
      <c r="BC455" s="164"/>
      <c r="BD455" s="164"/>
      <c r="BE455" s="164"/>
      <c r="BF455" s="164"/>
      <c r="BG455" s="164"/>
      <c r="BH455" s="164"/>
      <c r="BI455" s="164"/>
      <c r="BJ455" s="164"/>
      <c r="BK455" s="164"/>
      <c r="BL455" s="164"/>
      <c r="BM455" s="164"/>
      <c r="BN455" s="165"/>
      <c r="BO455" s="251"/>
      <c r="BP455" s="364" t="s">
        <v>1298</v>
      </c>
      <c r="BQ455" s="364" t="s">
        <v>1298</v>
      </c>
      <c r="BR455" s="364" t="s">
        <v>1298</v>
      </c>
      <c r="BS455" s="250"/>
      <c r="BT455" s="364" t="s">
        <v>1298</v>
      </c>
      <c r="BU455" s="364" t="s">
        <v>1298</v>
      </c>
      <c r="BV455" s="364" t="s">
        <v>1298</v>
      </c>
      <c r="BW455" s="364" t="s">
        <v>1298</v>
      </c>
      <c r="BX455" s="364" t="s">
        <v>1298</v>
      </c>
      <c r="BY455" s="250"/>
    </row>
    <row r="456" spans="3:78" ht="14.25">
      <c r="C456" s="306"/>
      <c r="D456" s="367"/>
      <c r="E456" s="370"/>
      <c r="F456" s="406"/>
      <c r="G456" s="376"/>
      <c r="H456" s="379"/>
      <c r="I456" s="382"/>
      <c r="J456" s="382"/>
      <c r="K456" s="385"/>
      <c r="L456" s="388"/>
      <c r="M456" s="391"/>
      <c r="N456" s="394"/>
      <c r="O456" s="397"/>
      <c r="P456" s="400"/>
      <c r="Q456" s="403"/>
      <c r="R456" s="362"/>
      <c r="S456" s="362"/>
      <c r="T456" s="362"/>
      <c r="U456" s="362"/>
      <c r="V456" s="362"/>
      <c r="W456" s="362"/>
      <c r="X456" s="362"/>
      <c r="Y456" s="362"/>
      <c r="Z456" s="362"/>
      <c r="AA456" s="362"/>
      <c r="AB456" s="362"/>
      <c r="AC456" s="362"/>
      <c r="AD456" s="362"/>
      <c r="AE456" s="193"/>
      <c r="AF456" s="217" t="s">
        <v>268</v>
      </c>
      <c r="AG456" s="158" t="s">
        <v>221</v>
      </c>
      <c r="AH456" s="300" t="s">
        <v>19</v>
      </c>
      <c r="AI456" s="301" t="s">
        <v>154</v>
      </c>
      <c r="AJ456" s="221"/>
      <c r="AK456" s="221"/>
      <c r="AL456" s="221"/>
      <c r="AM456" s="221"/>
      <c r="AN456" s="221"/>
      <c r="AO456" s="221"/>
      <c r="AP456" s="302" t="s">
        <v>19</v>
      </c>
      <c r="AQ456" s="195">
        <f>SUM(AT456,AW456,AZ456,BC456,BF456,BI456,BL456)</f>
        <v>1609.2942715091417</v>
      </c>
      <c r="AR456" s="197">
        <f>SUM(AT456,AX456,BA456,BD456,BG456,BJ456,BM456)</f>
        <v>0</v>
      </c>
      <c r="AS456" s="195">
        <f>AQ456-AR456</f>
        <v>1609.2942715091417</v>
      </c>
      <c r="AT456" s="312"/>
      <c r="AU456" s="312"/>
      <c r="AV456" s="244"/>
      <c r="AW456" s="159"/>
      <c r="AX456" s="312"/>
      <c r="AY456" s="194">
        <f>AW456-AX456</f>
        <v>0</v>
      </c>
      <c r="AZ456" s="160">
        <v>1609.2942715091417</v>
      </c>
      <c r="BA456" s="312"/>
      <c r="BB456" s="194">
        <f>AZ456-BA456</f>
        <v>1609.2942715091417</v>
      </c>
      <c r="BC456" s="159"/>
      <c r="BD456" s="312"/>
      <c r="BE456" s="194">
        <f>BC456-BD456</f>
        <v>0</v>
      </c>
      <c r="BF456" s="159"/>
      <c r="BG456" s="244"/>
      <c r="BH456" s="194">
        <f>BF456-BG456</f>
        <v>0</v>
      </c>
      <c r="BI456" s="159"/>
      <c r="BJ456" s="244"/>
      <c r="BK456" s="194">
        <f>BI456-BJ456</f>
        <v>0</v>
      </c>
      <c r="BL456" s="312"/>
      <c r="BM456" s="312"/>
      <c r="BN456" s="195">
        <f>BL456-BM456</f>
        <v>0</v>
      </c>
      <c r="BO456" s="251">
        <v>0</v>
      </c>
      <c r="BP456" s="364"/>
      <c r="BQ456" s="364"/>
      <c r="BR456" s="364"/>
      <c r="BS456" s="249" t="str">
        <f>AG456 &amp; BO456</f>
        <v>Амортизационные отчисления0</v>
      </c>
      <c r="BT456" s="364"/>
      <c r="BU456" s="364"/>
      <c r="BV456" s="364"/>
      <c r="BW456" s="364"/>
      <c r="BX456" s="364"/>
      <c r="BY456" s="249" t="str">
        <f>AG456&amp;AH456</f>
        <v>Амортизационные отчислениянет</v>
      </c>
      <c r="BZ456" s="250"/>
    </row>
    <row r="457" spans="3:78" ht="14.25">
      <c r="C457" s="97"/>
      <c r="D457" s="367"/>
      <c r="E457" s="370"/>
      <c r="F457" s="406"/>
      <c r="G457" s="376"/>
      <c r="H457" s="379"/>
      <c r="I457" s="382"/>
      <c r="J457" s="382"/>
      <c r="K457" s="385"/>
      <c r="L457" s="388"/>
      <c r="M457" s="391"/>
      <c r="N457" s="394"/>
      <c r="O457" s="397"/>
      <c r="P457" s="400"/>
      <c r="Q457" s="403"/>
      <c r="R457" s="362"/>
      <c r="S457" s="362"/>
      <c r="T457" s="362"/>
      <c r="U457" s="362"/>
      <c r="V457" s="362"/>
      <c r="W457" s="362"/>
      <c r="X457" s="362"/>
      <c r="Y457" s="362"/>
      <c r="Z457" s="362"/>
      <c r="AA457" s="362"/>
      <c r="AB457" s="362"/>
      <c r="AC457" s="362"/>
      <c r="AD457" s="362"/>
      <c r="AE457" s="322" t="s">
        <v>1240</v>
      </c>
      <c r="AF457" s="217" t="s">
        <v>118</v>
      </c>
      <c r="AG457" s="196" t="s">
        <v>223</v>
      </c>
      <c r="AH457" s="302" t="s">
        <v>19</v>
      </c>
      <c r="AI457" s="301" t="s">
        <v>154</v>
      </c>
      <c r="AJ457" s="221"/>
      <c r="AK457" s="221"/>
      <c r="AL457" s="221"/>
      <c r="AM457" s="221"/>
      <c r="AN457" s="221"/>
      <c r="AO457" s="221"/>
      <c r="AP457" s="302" t="s">
        <v>19</v>
      </c>
      <c r="AQ457" s="195">
        <f>SUM(AT457,AW457,AZ457,BC457,BF457,BI457,BL457)</f>
        <v>321.85885430182839</v>
      </c>
      <c r="AR457" s="197">
        <f>SUM(AT457,AX457,BA457,BD457,BG457,BJ457,BM457)</f>
        <v>0</v>
      </c>
      <c r="AS457" s="195">
        <f>AQ457-AR457</f>
        <v>321.85885430182839</v>
      </c>
      <c r="AT457" s="315"/>
      <c r="AU457" s="315"/>
      <c r="AV457" s="241"/>
      <c r="AW457" s="198"/>
      <c r="AX457" s="313"/>
      <c r="AY457" s="199">
        <f>AW457-AX457</f>
        <v>0</v>
      </c>
      <c r="AZ457" s="173">
        <f>1931.15312581097-AZ456</f>
        <v>321.85885430182839</v>
      </c>
      <c r="BA457" s="313"/>
      <c r="BB457" s="199">
        <f>AZ457-BA457</f>
        <v>321.85885430182839</v>
      </c>
      <c r="BC457" s="198"/>
      <c r="BD457" s="313"/>
      <c r="BE457" s="199">
        <f>BC457-BD457</f>
        <v>0</v>
      </c>
      <c r="BF457" s="198"/>
      <c r="BG457" s="241"/>
      <c r="BH457" s="199">
        <f>BF457-BG457</f>
        <v>0</v>
      </c>
      <c r="BI457" s="198"/>
      <c r="BJ457" s="241"/>
      <c r="BK457" s="199">
        <f>BI457-BJ457</f>
        <v>0</v>
      </c>
      <c r="BL457" s="313"/>
      <c r="BM457" s="313"/>
      <c r="BN457" s="195">
        <f>BL457-BM457</f>
        <v>0</v>
      </c>
      <c r="BO457" s="251">
        <v>0</v>
      </c>
      <c r="BP457" s="364"/>
      <c r="BQ457" s="364"/>
      <c r="BR457" s="364"/>
      <c r="BS457" s="249" t="str">
        <f>AG457 &amp; BO457</f>
        <v>Прочие собственные средства0</v>
      </c>
      <c r="BT457" s="364"/>
      <c r="BU457" s="364"/>
      <c r="BV457" s="364"/>
      <c r="BW457" s="364"/>
      <c r="BX457" s="364"/>
      <c r="BY457" s="249" t="str">
        <f>AG457&amp;AH457</f>
        <v>Прочие собственные средстванет</v>
      </c>
      <c r="BZ457" s="250"/>
    </row>
    <row r="458" spans="3:78" ht="15" customHeight="1">
      <c r="C458" s="306"/>
      <c r="D458" s="367"/>
      <c r="E458" s="370"/>
      <c r="F458" s="406"/>
      <c r="G458" s="376"/>
      <c r="H458" s="379"/>
      <c r="I458" s="382"/>
      <c r="J458" s="382"/>
      <c r="K458" s="385"/>
      <c r="L458" s="388"/>
      <c r="M458" s="391"/>
      <c r="N458" s="395"/>
      <c r="O458" s="398"/>
      <c r="P458" s="401"/>
      <c r="Q458" s="404"/>
      <c r="R458" s="363"/>
      <c r="S458" s="363"/>
      <c r="T458" s="363"/>
      <c r="U458" s="363"/>
      <c r="V458" s="363"/>
      <c r="W458" s="363"/>
      <c r="X458" s="363"/>
      <c r="Y458" s="363"/>
      <c r="Z458" s="363"/>
      <c r="AA458" s="363"/>
      <c r="AB458" s="363"/>
      <c r="AC458" s="363"/>
      <c r="AD458" s="363"/>
      <c r="AE458" s="279" t="s">
        <v>379</v>
      </c>
      <c r="AF458" s="203"/>
      <c r="AG458" s="223" t="s">
        <v>24</v>
      </c>
      <c r="AH458" s="223"/>
      <c r="AI458" s="223"/>
      <c r="AJ458" s="223"/>
      <c r="AK458" s="223"/>
      <c r="AL458" s="223"/>
      <c r="AM458" s="223"/>
      <c r="AN458" s="223"/>
      <c r="AO458" s="223"/>
      <c r="AP458" s="168"/>
      <c r="AQ458" s="169"/>
      <c r="AR458" s="169"/>
      <c r="AS458" s="169"/>
      <c r="AT458" s="169"/>
      <c r="AU458" s="169"/>
      <c r="AV458" s="169"/>
      <c r="AW458" s="169"/>
      <c r="AX458" s="169"/>
      <c r="AY458" s="169"/>
      <c r="AZ458" s="169"/>
      <c r="BA458" s="169"/>
      <c r="BB458" s="169"/>
      <c r="BC458" s="169"/>
      <c r="BD458" s="169"/>
      <c r="BE458" s="169"/>
      <c r="BF458" s="169"/>
      <c r="BG458" s="169"/>
      <c r="BH458" s="169"/>
      <c r="BI458" s="169"/>
      <c r="BJ458" s="169"/>
      <c r="BK458" s="169"/>
      <c r="BL458" s="169"/>
      <c r="BM458" s="169"/>
      <c r="BN458" s="170"/>
      <c r="BO458" s="251"/>
      <c r="BP458" s="364"/>
      <c r="BQ458" s="364"/>
      <c r="BR458" s="364"/>
      <c r="BS458" s="250"/>
      <c r="BT458" s="364"/>
      <c r="BU458" s="364"/>
      <c r="BV458" s="364"/>
      <c r="BW458" s="364"/>
      <c r="BX458" s="364"/>
      <c r="BY458" s="250"/>
    </row>
    <row r="459" spans="3:78" ht="15" customHeight="1" thickBot="1">
      <c r="C459" s="307"/>
      <c r="D459" s="368"/>
      <c r="E459" s="371"/>
      <c r="F459" s="407"/>
      <c r="G459" s="377"/>
      <c r="H459" s="380"/>
      <c r="I459" s="383"/>
      <c r="J459" s="383"/>
      <c r="K459" s="386"/>
      <c r="L459" s="389"/>
      <c r="M459" s="392"/>
      <c r="N459" s="280" t="s">
        <v>380</v>
      </c>
      <c r="O459" s="212"/>
      <c r="P459" s="365" t="s">
        <v>154</v>
      </c>
      <c r="Q459" s="365"/>
      <c r="R459" s="171"/>
      <c r="S459" s="171"/>
      <c r="T459" s="166"/>
      <c r="U459" s="166"/>
      <c r="V459" s="166"/>
      <c r="W459" s="166"/>
      <c r="X459" s="166"/>
      <c r="Y459" s="166"/>
      <c r="Z459" s="166"/>
      <c r="AA459" s="166"/>
      <c r="AB459" s="166"/>
      <c r="AC459" s="166"/>
      <c r="AD459" s="166"/>
      <c r="AE459" s="166"/>
      <c r="AF459" s="166"/>
      <c r="AG459" s="166"/>
      <c r="AH459" s="166"/>
      <c r="AI459" s="166"/>
      <c r="AJ459" s="166"/>
      <c r="AK459" s="166"/>
      <c r="AL459" s="166"/>
      <c r="AM459" s="166"/>
      <c r="AN459" s="166"/>
      <c r="AO459" s="166"/>
      <c r="AP459" s="166"/>
      <c r="AQ459" s="166"/>
      <c r="AR459" s="166"/>
      <c r="AS459" s="166"/>
      <c r="AT459" s="166"/>
      <c r="AU459" s="166"/>
      <c r="AV459" s="166"/>
      <c r="AW459" s="166"/>
      <c r="AX459" s="166"/>
      <c r="AY459" s="166"/>
      <c r="AZ459" s="166"/>
      <c r="BA459" s="166"/>
      <c r="BB459" s="166"/>
      <c r="BC459" s="166"/>
      <c r="BD459" s="166"/>
      <c r="BE459" s="166"/>
      <c r="BF459" s="166"/>
      <c r="BG459" s="166"/>
      <c r="BH459" s="166"/>
      <c r="BI459" s="166"/>
      <c r="BJ459" s="166"/>
      <c r="BK459" s="166"/>
      <c r="BL459" s="166"/>
      <c r="BM459" s="166"/>
      <c r="BN459" s="167"/>
      <c r="BO459" s="251"/>
      <c r="BP459" s="250"/>
      <c r="BQ459" s="250"/>
      <c r="BR459" s="250"/>
      <c r="BS459" s="250"/>
      <c r="BT459" s="250"/>
      <c r="BU459" s="250"/>
      <c r="BY459" s="250"/>
    </row>
    <row r="460" spans="3:78" ht="11.25" customHeight="1">
      <c r="C460" s="97" t="s">
        <v>1240</v>
      </c>
      <c r="D460" s="366" t="s">
        <v>1359</v>
      </c>
      <c r="E460" s="369" t="s">
        <v>199</v>
      </c>
      <c r="F460" s="405" t="s">
        <v>209</v>
      </c>
      <c r="G460" s="375" t="s">
        <v>1469</v>
      </c>
      <c r="H460" s="378" t="s">
        <v>715</v>
      </c>
      <c r="I460" s="381" t="s">
        <v>715</v>
      </c>
      <c r="J460" s="381" t="s">
        <v>716</v>
      </c>
      <c r="K460" s="384">
        <v>1</v>
      </c>
      <c r="L460" s="387" t="s">
        <v>4</v>
      </c>
      <c r="M460" s="390">
        <v>0</v>
      </c>
      <c r="N460" s="163"/>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c r="AX460" s="161"/>
      <c r="AY460" s="161"/>
      <c r="AZ460" s="161"/>
      <c r="BA460" s="161"/>
      <c r="BB460" s="161"/>
      <c r="BC460" s="161"/>
      <c r="BD460" s="161"/>
      <c r="BE460" s="161"/>
      <c r="BF460" s="161"/>
      <c r="BG460" s="161"/>
      <c r="BH460" s="161"/>
      <c r="BI460" s="161"/>
      <c r="BJ460" s="161"/>
      <c r="BK460" s="161"/>
      <c r="BL460" s="161"/>
      <c r="BM460" s="161"/>
      <c r="BN460" s="162"/>
      <c r="BO460" s="251"/>
      <c r="BP460" s="250"/>
      <c r="BQ460" s="250"/>
      <c r="BR460" s="250"/>
      <c r="BS460" s="250"/>
      <c r="BT460" s="250"/>
      <c r="BU460" s="250"/>
      <c r="BY460" s="250"/>
    </row>
    <row r="461" spans="3:78" ht="11.25" customHeight="1">
      <c r="C461" s="306"/>
      <c r="D461" s="367"/>
      <c r="E461" s="370"/>
      <c r="F461" s="406"/>
      <c r="G461" s="376"/>
      <c r="H461" s="379"/>
      <c r="I461" s="382"/>
      <c r="J461" s="382"/>
      <c r="K461" s="385"/>
      <c r="L461" s="388"/>
      <c r="M461" s="391"/>
      <c r="N461" s="393"/>
      <c r="O461" s="396">
        <v>1</v>
      </c>
      <c r="P461" s="399" t="s">
        <v>1297</v>
      </c>
      <c r="Q461" s="402"/>
      <c r="R461" s="361" t="s">
        <v>154</v>
      </c>
      <c r="S461" s="361" t="s">
        <v>154</v>
      </c>
      <c r="T461" s="361" t="s">
        <v>154</v>
      </c>
      <c r="U461" s="361" t="s">
        <v>154</v>
      </c>
      <c r="V461" s="361" t="s">
        <v>154</v>
      </c>
      <c r="W461" s="361" t="s">
        <v>154</v>
      </c>
      <c r="X461" s="361" t="s">
        <v>154</v>
      </c>
      <c r="Y461" s="361" t="s">
        <v>154</v>
      </c>
      <c r="Z461" s="361" t="s">
        <v>154</v>
      </c>
      <c r="AA461" s="361" t="s">
        <v>154</v>
      </c>
      <c r="AB461" s="361" t="s">
        <v>154</v>
      </c>
      <c r="AC461" s="361" t="s">
        <v>154</v>
      </c>
      <c r="AD461" s="361" t="s">
        <v>154</v>
      </c>
      <c r="AE461" s="209"/>
      <c r="AF461" s="220">
        <v>0</v>
      </c>
      <c r="AG461" s="219" t="s">
        <v>308</v>
      </c>
      <c r="AH461" s="219"/>
      <c r="AI461" s="219"/>
      <c r="AJ461" s="219"/>
      <c r="AK461" s="219"/>
      <c r="AL461" s="219"/>
      <c r="AM461" s="219"/>
      <c r="AN461" s="219"/>
      <c r="AO461" s="219"/>
      <c r="AP461" s="164"/>
      <c r="AQ461" s="164"/>
      <c r="AR461" s="164"/>
      <c r="AS461" s="164"/>
      <c r="AT461" s="164"/>
      <c r="AU461" s="164"/>
      <c r="AV461" s="164"/>
      <c r="AW461" s="164"/>
      <c r="AX461" s="164"/>
      <c r="AY461" s="164"/>
      <c r="AZ461" s="164"/>
      <c r="BA461" s="164"/>
      <c r="BB461" s="164"/>
      <c r="BC461" s="164"/>
      <c r="BD461" s="164"/>
      <c r="BE461" s="164"/>
      <c r="BF461" s="164"/>
      <c r="BG461" s="164"/>
      <c r="BH461" s="164"/>
      <c r="BI461" s="164"/>
      <c r="BJ461" s="164"/>
      <c r="BK461" s="164"/>
      <c r="BL461" s="164"/>
      <c r="BM461" s="164"/>
      <c r="BN461" s="165"/>
      <c r="BO461" s="251"/>
      <c r="BP461" s="364" t="s">
        <v>1298</v>
      </c>
      <c r="BQ461" s="364" t="s">
        <v>1298</v>
      </c>
      <c r="BR461" s="364" t="s">
        <v>1298</v>
      </c>
      <c r="BS461" s="250"/>
      <c r="BT461" s="364" t="s">
        <v>1298</v>
      </c>
      <c r="BU461" s="364" t="s">
        <v>1298</v>
      </c>
      <c r="BV461" s="364" t="s">
        <v>1298</v>
      </c>
      <c r="BW461" s="364" t="s">
        <v>1298</v>
      </c>
      <c r="BX461" s="364" t="s">
        <v>1298</v>
      </c>
      <c r="BY461" s="250"/>
    </row>
    <row r="462" spans="3:78" ht="14.25">
      <c r="C462" s="306"/>
      <c r="D462" s="367"/>
      <c r="E462" s="370"/>
      <c r="F462" s="406"/>
      <c r="G462" s="376"/>
      <c r="H462" s="379"/>
      <c r="I462" s="382"/>
      <c r="J462" s="382"/>
      <c r="K462" s="385"/>
      <c r="L462" s="388"/>
      <c r="M462" s="391"/>
      <c r="N462" s="394"/>
      <c r="O462" s="397"/>
      <c r="P462" s="400"/>
      <c r="Q462" s="403"/>
      <c r="R462" s="362"/>
      <c r="S462" s="362"/>
      <c r="T462" s="362"/>
      <c r="U462" s="362"/>
      <c r="V462" s="362"/>
      <c r="W462" s="362"/>
      <c r="X462" s="362"/>
      <c r="Y462" s="362"/>
      <c r="Z462" s="362"/>
      <c r="AA462" s="362"/>
      <c r="AB462" s="362"/>
      <c r="AC462" s="362"/>
      <c r="AD462" s="362"/>
      <c r="AE462" s="193"/>
      <c r="AF462" s="217" t="s">
        <v>268</v>
      </c>
      <c r="AG462" s="158" t="s">
        <v>221</v>
      </c>
      <c r="AH462" s="300" t="s">
        <v>19</v>
      </c>
      <c r="AI462" s="301" t="s">
        <v>154</v>
      </c>
      <c r="AJ462" s="221"/>
      <c r="AK462" s="221"/>
      <c r="AL462" s="221"/>
      <c r="AM462" s="221"/>
      <c r="AN462" s="221"/>
      <c r="AO462" s="221"/>
      <c r="AP462" s="302" t="s">
        <v>19</v>
      </c>
      <c r="AQ462" s="195">
        <f>SUM(AT462,AW462,AZ462,BC462,BF462,BI462,BL462)</f>
        <v>1558.3370820954251</v>
      </c>
      <c r="AR462" s="197">
        <f>SUM(AT462,AX462,BA462,BD462,BG462,BJ462,BM462)</f>
        <v>0</v>
      </c>
      <c r="AS462" s="195">
        <f>AQ462-AR462</f>
        <v>1558.3370820954251</v>
      </c>
      <c r="AT462" s="312"/>
      <c r="AU462" s="312"/>
      <c r="AV462" s="244"/>
      <c r="AW462" s="159"/>
      <c r="AX462" s="312"/>
      <c r="AY462" s="194">
        <f>AW462-AX462</f>
        <v>0</v>
      </c>
      <c r="AZ462" s="160">
        <v>1558.3370820954251</v>
      </c>
      <c r="BA462" s="312"/>
      <c r="BB462" s="194">
        <f>AZ462-BA462</f>
        <v>1558.3370820954251</v>
      </c>
      <c r="BC462" s="159"/>
      <c r="BD462" s="312"/>
      <c r="BE462" s="194">
        <f>BC462-BD462</f>
        <v>0</v>
      </c>
      <c r="BF462" s="159"/>
      <c r="BG462" s="244"/>
      <c r="BH462" s="194">
        <f>BF462-BG462</f>
        <v>0</v>
      </c>
      <c r="BI462" s="159"/>
      <c r="BJ462" s="244"/>
      <c r="BK462" s="194">
        <f>BI462-BJ462</f>
        <v>0</v>
      </c>
      <c r="BL462" s="312"/>
      <c r="BM462" s="312"/>
      <c r="BN462" s="195">
        <f>BL462-BM462</f>
        <v>0</v>
      </c>
      <c r="BO462" s="251">
        <v>0</v>
      </c>
      <c r="BP462" s="364"/>
      <c r="BQ462" s="364"/>
      <c r="BR462" s="364"/>
      <c r="BS462" s="249" t="str">
        <f>AG462 &amp; BO462</f>
        <v>Амортизационные отчисления0</v>
      </c>
      <c r="BT462" s="364"/>
      <c r="BU462" s="364"/>
      <c r="BV462" s="364"/>
      <c r="BW462" s="364"/>
      <c r="BX462" s="364"/>
      <c r="BY462" s="249" t="str">
        <f>AG462&amp;AH462</f>
        <v>Амортизационные отчислениянет</v>
      </c>
      <c r="BZ462" s="250"/>
    </row>
    <row r="463" spans="3:78" ht="14.25">
      <c r="C463" s="97"/>
      <c r="D463" s="367"/>
      <c r="E463" s="370"/>
      <c r="F463" s="406"/>
      <c r="G463" s="376"/>
      <c r="H463" s="379"/>
      <c r="I463" s="382"/>
      <c r="J463" s="382"/>
      <c r="K463" s="385"/>
      <c r="L463" s="388"/>
      <c r="M463" s="391"/>
      <c r="N463" s="394"/>
      <c r="O463" s="397"/>
      <c r="P463" s="400"/>
      <c r="Q463" s="403"/>
      <c r="R463" s="362"/>
      <c r="S463" s="362"/>
      <c r="T463" s="362"/>
      <c r="U463" s="362"/>
      <c r="V463" s="362"/>
      <c r="W463" s="362"/>
      <c r="X463" s="362"/>
      <c r="Y463" s="362"/>
      <c r="Z463" s="362"/>
      <c r="AA463" s="362"/>
      <c r="AB463" s="362"/>
      <c r="AC463" s="362"/>
      <c r="AD463" s="362"/>
      <c r="AE463" s="322" t="s">
        <v>1240</v>
      </c>
      <c r="AF463" s="217" t="s">
        <v>118</v>
      </c>
      <c r="AG463" s="196" t="s">
        <v>223</v>
      </c>
      <c r="AH463" s="302" t="s">
        <v>19</v>
      </c>
      <c r="AI463" s="301" t="s">
        <v>154</v>
      </c>
      <c r="AJ463" s="221"/>
      <c r="AK463" s="221"/>
      <c r="AL463" s="221"/>
      <c r="AM463" s="221"/>
      <c r="AN463" s="221"/>
      <c r="AO463" s="221"/>
      <c r="AP463" s="302" t="s">
        <v>19</v>
      </c>
      <c r="AQ463" s="195">
        <f>SUM(AT463,AW463,AZ463,BC463,BF463,BI463,BL463)</f>
        <v>311.66741641908493</v>
      </c>
      <c r="AR463" s="197">
        <f>SUM(AT463,AX463,BA463,BD463,BG463,BJ463,BM463)</f>
        <v>0</v>
      </c>
      <c r="AS463" s="195">
        <f>AQ463-AR463</f>
        <v>311.66741641908493</v>
      </c>
      <c r="AT463" s="315"/>
      <c r="AU463" s="315"/>
      <c r="AV463" s="241"/>
      <c r="AW463" s="198"/>
      <c r="AX463" s="313"/>
      <c r="AY463" s="199">
        <f>AW463-AX463</f>
        <v>0</v>
      </c>
      <c r="AZ463" s="173">
        <f>1870.00449851451-AZ462</f>
        <v>311.66741641908493</v>
      </c>
      <c r="BA463" s="313"/>
      <c r="BB463" s="199">
        <f>AZ463-BA463</f>
        <v>311.66741641908493</v>
      </c>
      <c r="BC463" s="198"/>
      <c r="BD463" s="313"/>
      <c r="BE463" s="199">
        <f>BC463-BD463</f>
        <v>0</v>
      </c>
      <c r="BF463" s="198"/>
      <c r="BG463" s="241"/>
      <c r="BH463" s="199">
        <f>BF463-BG463</f>
        <v>0</v>
      </c>
      <c r="BI463" s="198"/>
      <c r="BJ463" s="241"/>
      <c r="BK463" s="199">
        <f>BI463-BJ463</f>
        <v>0</v>
      </c>
      <c r="BL463" s="313"/>
      <c r="BM463" s="313"/>
      <c r="BN463" s="195">
        <f>BL463-BM463</f>
        <v>0</v>
      </c>
      <c r="BO463" s="251">
        <v>0</v>
      </c>
      <c r="BP463" s="364"/>
      <c r="BQ463" s="364"/>
      <c r="BR463" s="364"/>
      <c r="BS463" s="249" t="str">
        <f>AG463 &amp; BO463</f>
        <v>Прочие собственные средства0</v>
      </c>
      <c r="BT463" s="364"/>
      <c r="BU463" s="364"/>
      <c r="BV463" s="364"/>
      <c r="BW463" s="364"/>
      <c r="BX463" s="364"/>
      <c r="BY463" s="249" t="str">
        <f>AG463&amp;AH463</f>
        <v>Прочие собственные средстванет</v>
      </c>
      <c r="BZ463" s="250"/>
    </row>
    <row r="464" spans="3:78" ht="15" customHeight="1">
      <c r="C464" s="306"/>
      <c r="D464" s="367"/>
      <c r="E464" s="370"/>
      <c r="F464" s="406"/>
      <c r="G464" s="376"/>
      <c r="H464" s="379"/>
      <c r="I464" s="382"/>
      <c r="J464" s="382"/>
      <c r="K464" s="385"/>
      <c r="L464" s="388"/>
      <c r="M464" s="391"/>
      <c r="N464" s="395"/>
      <c r="O464" s="398"/>
      <c r="P464" s="401"/>
      <c r="Q464" s="404"/>
      <c r="R464" s="363"/>
      <c r="S464" s="363"/>
      <c r="T464" s="363"/>
      <c r="U464" s="363"/>
      <c r="V464" s="363"/>
      <c r="W464" s="363"/>
      <c r="X464" s="363"/>
      <c r="Y464" s="363"/>
      <c r="Z464" s="363"/>
      <c r="AA464" s="363"/>
      <c r="AB464" s="363"/>
      <c r="AC464" s="363"/>
      <c r="AD464" s="363"/>
      <c r="AE464" s="279" t="s">
        <v>379</v>
      </c>
      <c r="AF464" s="203"/>
      <c r="AG464" s="223" t="s">
        <v>24</v>
      </c>
      <c r="AH464" s="223"/>
      <c r="AI464" s="223"/>
      <c r="AJ464" s="223"/>
      <c r="AK464" s="223"/>
      <c r="AL464" s="223"/>
      <c r="AM464" s="223"/>
      <c r="AN464" s="223"/>
      <c r="AO464" s="223"/>
      <c r="AP464" s="168"/>
      <c r="AQ464" s="169"/>
      <c r="AR464" s="169"/>
      <c r="AS464" s="169"/>
      <c r="AT464" s="169"/>
      <c r="AU464" s="169"/>
      <c r="AV464" s="169"/>
      <c r="AW464" s="169"/>
      <c r="AX464" s="169"/>
      <c r="AY464" s="169"/>
      <c r="AZ464" s="169"/>
      <c r="BA464" s="169"/>
      <c r="BB464" s="169"/>
      <c r="BC464" s="169"/>
      <c r="BD464" s="169"/>
      <c r="BE464" s="169"/>
      <c r="BF464" s="169"/>
      <c r="BG464" s="169"/>
      <c r="BH464" s="169"/>
      <c r="BI464" s="169"/>
      <c r="BJ464" s="169"/>
      <c r="BK464" s="169"/>
      <c r="BL464" s="169"/>
      <c r="BM464" s="169"/>
      <c r="BN464" s="170"/>
      <c r="BO464" s="251"/>
      <c r="BP464" s="364"/>
      <c r="BQ464" s="364"/>
      <c r="BR464" s="364"/>
      <c r="BS464" s="250"/>
      <c r="BT464" s="364"/>
      <c r="BU464" s="364"/>
      <c r="BV464" s="364"/>
      <c r="BW464" s="364"/>
      <c r="BX464" s="364"/>
      <c r="BY464" s="250"/>
    </row>
    <row r="465" spans="3:78" ht="15" customHeight="1" thickBot="1">
      <c r="C465" s="307"/>
      <c r="D465" s="368"/>
      <c r="E465" s="371"/>
      <c r="F465" s="407"/>
      <c r="G465" s="377"/>
      <c r="H465" s="380"/>
      <c r="I465" s="383"/>
      <c r="J465" s="383"/>
      <c r="K465" s="386"/>
      <c r="L465" s="389"/>
      <c r="M465" s="392"/>
      <c r="N465" s="280" t="s">
        <v>380</v>
      </c>
      <c r="O465" s="212"/>
      <c r="P465" s="365" t="s">
        <v>154</v>
      </c>
      <c r="Q465" s="365"/>
      <c r="R465" s="171"/>
      <c r="S465" s="171"/>
      <c r="T465" s="166"/>
      <c r="U465" s="166"/>
      <c r="V465" s="166"/>
      <c r="W465" s="166"/>
      <c r="X465" s="166"/>
      <c r="Y465" s="166"/>
      <c r="Z465" s="166"/>
      <c r="AA465" s="166"/>
      <c r="AB465" s="166"/>
      <c r="AC465" s="166"/>
      <c r="AD465" s="166"/>
      <c r="AE465" s="166"/>
      <c r="AF465" s="166"/>
      <c r="AG465" s="166"/>
      <c r="AH465" s="166"/>
      <c r="AI465" s="166"/>
      <c r="AJ465" s="166"/>
      <c r="AK465" s="166"/>
      <c r="AL465" s="166"/>
      <c r="AM465" s="166"/>
      <c r="AN465" s="166"/>
      <c r="AO465" s="166"/>
      <c r="AP465" s="166"/>
      <c r="AQ465" s="166"/>
      <c r="AR465" s="166"/>
      <c r="AS465" s="166"/>
      <c r="AT465" s="166"/>
      <c r="AU465" s="166"/>
      <c r="AV465" s="166"/>
      <c r="AW465" s="166"/>
      <c r="AX465" s="166"/>
      <c r="AY465" s="166"/>
      <c r="AZ465" s="166"/>
      <c r="BA465" s="166"/>
      <c r="BB465" s="166"/>
      <c r="BC465" s="166"/>
      <c r="BD465" s="166"/>
      <c r="BE465" s="166"/>
      <c r="BF465" s="166"/>
      <c r="BG465" s="166"/>
      <c r="BH465" s="166"/>
      <c r="BI465" s="166"/>
      <c r="BJ465" s="166"/>
      <c r="BK465" s="166"/>
      <c r="BL465" s="166"/>
      <c r="BM465" s="166"/>
      <c r="BN465" s="167"/>
      <c r="BO465" s="251"/>
      <c r="BP465" s="250"/>
      <c r="BQ465" s="250"/>
      <c r="BR465" s="250"/>
      <c r="BS465" s="250"/>
      <c r="BT465" s="250"/>
      <c r="BU465" s="250"/>
      <c r="BY465" s="250"/>
    </row>
    <row r="466" spans="3:78" ht="11.25" customHeight="1">
      <c r="C466" s="97" t="s">
        <v>1240</v>
      </c>
      <c r="D466" s="366" t="s">
        <v>1360</v>
      </c>
      <c r="E466" s="369" t="s">
        <v>199</v>
      </c>
      <c r="F466" s="405" t="s">
        <v>209</v>
      </c>
      <c r="G466" s="375" t="s">
        <v>1470</v>
      </c>
      <c r="H466" s="378" t="s">
        <v>715</v>
      </c>
      <c r="I466" s="381" t="s">
        <v>715</v>
      </c>
      <c r="J466" s="381" t="s">
        <v>716</v>
      </c>
      <c r="K466" s="384">
        <v>1</v>
      </c>
      <c r="L466" s="387" t="s">
        <v>4</v>
      </c>
      <c r="M466" s="390">
        <v>0</v>
      </c>
      <c r="N466" s="163"/>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1"/>
      <c r="AL466" s="161"/>
      <c r="AM466" s="161"/>
      <c r="AN466" s="161"/>
      <c r="AO466" s="161"/>
      <c r="AP466" s="161"/>
      <c r="AQ466" s="161"/>
      <c r="AR466" s="161"/>
      <c r="AS466" s="161"/>
      <c r="AT466" s="161"/>
      <c r="AU466" s="161"/>
      <c r="AV466" s="161"/>
      <c r="AW466" s="161"/>
      <c r="AX466" s="161"/>
      <c r="AY466" s="161"/>
      <c r="AZ466" s="161"/>
      <c r="BA466" s="161"/>
      <c r="BB466" s="161"/>
      <c r="BC466" s="161"/>
      <c r="BD466" s="161"/>
      <c r="BE466" s="161"/>
      <c r="BF466" s="161"/>
      <c r="BG466" s="161"/>
      <c r="BH466" s="161"/>
      <c r="BI466" s="161"/>
      <c r="BJ466" s="161"/>
      <c r="BK466" s="161"/>
      <c r="BL466" s="161"/>
      <c r="BM466" s="161"/>
      <c r="BN466" s="162"/>
      <c r="BO466" s="251"/>
      <c r="BP466" s="250"/>
      <c r="BQ466" s="250"/>
      <c r="BR466" s="250"/>
      <c r="BS466" s="250"/>
      <c r="BT466" s="250"/>
      <c r="BU466" s="250"/>
      <c r="BY466" s="250"/>
    </row>
    <row r="467" spans="3:78" ht="11.25" customHeight="1">
      <c r="C467" s="306"/>
      <c r="D467" s="367"/>
      <c r="E467" s="370"/>
      <c r="F467" s="406"/>
      <c r="G467" s="376"/>
      <c r="H467" s="379"/>
      <c r="I467" s="382"/>
      <c r="J467" s="382"/>
      <c r="K467" s="385"/>
      <c r="L467" s="388"/>
      <c r="M467" s="391"/>
      <c r="N467" s="393"/>
      <c r="O467" s="396">
        <v>1</v>
      </c>
      <c r="P467" s="399" t="s">
        <v>1297</v>
      </c>
      <c r="Q467" s="402"/>
      <c r="R467" s="361" t="s">
        <v>154</v>
      </c>
      <c r="S467" s="361" t="s">
        <v>154</v>
      </c>
      <c r="T467" s="361" t="s">
        <v>154</v>
      </c>
      <c r="U467" s="361" t="s">
        <v>154</v>
      </c>
      <c r="V467" s="361" t="s">
        <v>154</v>
      </c>
      <c r="W467" s="361" t="s">
        <v>154</v>
      </c>
      <c r="X467" s="361" t="s">
        <v>154</v>
      </c>
      <c r="Y467" s="361" t="s">
        <v>154</v>
      </c>
      <c r="Z467" s="361" t="s">
        <v>154</v>
      </c>
      <c r="AA467" s="361" t="s">
        <v>154</v>
      </c>
      <c r="AB467" s="361" t="s">
        <v>154</v>
      </c>
      <c r="AC467" s="361" t="s">
        <v>154</v>
      </c>
      <c r="AD467" s="361" t="s">
        <v>154</v>
      </c>
      <c r="AE467" s="209"/>
      <c r="AF467" s="220">
        <v>0</v>
      </c>
      <c r="AG467" s="219" t="s">
        <v>308</v>
      </c>
      <c r="AH467" s="219"/>
      <c r="AI467" s="219"/>
      <c r="AJ467" s="219"/>
      <c r="AK467" s="219"/>
      <c r="AL467" s="219"/>
      <c r="AM467" s="219"/>
      <c r="AN467" s="219"/>
      <c r="AO467" s="219"/>
      <c r="AP467" s="164"/>
      <c r="AQ467" s="164"/>
      <c r="AR467" s="164"/>
      <c r="AS467" s="164"/>
      <c r="AT467" s="164"/>
      <c r="AU467" s="164"/>
      <c r="AV467" s="164"/>
      <c r="AW467" s="164"/>
      <c r="AX467" s="164"/>
      <c r="AY467" s="164"/>
      <c r="AZ467" s="164"/>
      <c r="BA467" s="164"/>
      <c r="BB467" s="164"/>
      <c r="BC467" s="164"/>
      <c r="BD467" s="164"/>
      <c r="BE467" s="164"/>
      <c r="BF467" s="164"/>
      <c r="BG467" s="164"/>
      <c r="BH467" s="164"/>
      <c r="BI467" s="164"/>
      <c r="BJ467" s="164"/>
      <c r="BK467" s="164"/>
      <c r="BL467" s="164"/>
      <c r="BM467" s="164"/>
      <c r="BN467" s="165"/>
      <c r="BO467" s="251"/>
      <c r="BP467" s="364" t="s">
        <v>1298</v>
      </c>
      <c r="BQ467" s="364" t="s">
        <v>1298</v>
      </c>
      <c r="BR467" s="364" t="s">
        <v>1298</v>
      </c>
      <c r="BS467" s="250"/>
      <c r="BT467" s="364" t="s">
        <v>1298</v>
      </c>
      <c r="BU467" s="364" t="s">
        <v>1298</v>
      </c>
      <c r="BV467" s="364" t="s">
        <v>1298</v>
      </c>
      <c r="BW467" s="364" t="s">
        <v>1298</v>
      </c>
      <c r="BX467" s="364" t="s">
        <v>1298</v>
      </c>
      <c r="BY467" s="250"/>
    </row>
    <row r="468" spans="3:78" ht="14.25">
      <c r="C468" s="306"/>
      <c r="D468" s="367"/>
      <c r="E468" s="370"/>
      <c r="F468" s="406"/>
      <c r="G468" s="376"/>
      <c r="H468" s="379"/>
      <c r="I468" s="382"/>
      <c r="J468" s="382"/>
      <c r="K468" s="385"/>
      <c r="L468" s="388"/>
      <c r="M468" s="391"/>
      <c r="N468" s="394"/>
      <c r="O468" s="397"/>
      <c r="P468" s="400"/>
      <c r="Q468" s="403"/>
      <c r="R468" s="362"/>
      <c r="S468" s="362"/>
      <c r="T468" s="362"/>
      <c r="U468" s="362"/>
      <c r="V468" s="362"/>
      <c r="W468" s="362"/>
      <c r="X468" s="362"/>
      <c r="Y468" s="362"/>
      <c r="Z468" s="362"/>
      <c r="AA468" s="362"/>
      <c r="AB468" s="362"/>
      <c r="AC468" s="362"/>
      <c r="AD468" s="362"/>
      <c r="AE468" s="193"/>
      <c r="AF468" s="217" t="s">
        <v>268</v>
      </c>
      <c r="AG468" s="158" t="s">
        <v>221</v>
      </c>
      <c r="AH468" s="300" t="s">
        <v>19</v>
      </c>
      <c r="AI468" s="301" t="s">
        <v>154</v>
      </c>
      <c r="AJ468" s="221"/>
      <c r="AK468" s="221"/>
      <c r="AL468" s="221"/>
      <c r="AM468" s="221"/>
      <c r="AN468" s="221"/>
      <c r="AO468" s="221"/>
      <c r="AP468" s="302" t="s">
        <v>19</v>
      </c>
      <c r="AQ468" s="195">
        <f>SUM(AT468,AW468,AZ468,BC468,BF468,BI468,BL468)</f>
        <v>3810.4879859803004</v>
      </c>
      <c r="AR468" s="197">
        <f>SUM(AT468,AX468,BA468,BD468,BG468,BJ468,BM468)</f>
        <v>0</v>
      </c>
      <c r="AS468" s="195">
        <f>AQ468-AR468</f>
        <v>3810.4879859803004</v>
      </c>
      <c r="AT468" s="312"/>
      <c r="AU468" s="312"/>
      <c r="AV468" s="244"/>
      <c r="AW468" s="159"/>
      <c r="AX468" s="312"/>
      <c r="AY468" s="194">
        <f>AW468-AX468</f>
        <v>0</v>
      </c>
      <c r="AZ468" s="160">
        <v>3810.4879859803004</v>
      </c>
      <c r="BA468" s="312"/>
      <c r="BB468" s="194">
        <f>AZ468-BA468</f>
        <v>3810.4879859803004</v>
      </c>
      <c r="BC468" s="159"/>
      <c r="BD468" s="312"/>
      <c r="BE468" s="194">
        <f>BC468-BD468</f>
        <v>0</v>
      </c>
      <c r="BF468" s="159"/>
      <c r="BG468" s="244"/>
      <c r="BH468" s="194">
        <f>BF468-BG468</f>
        <v>0</v>
      </c>
      <c r="BI468" s="159"/>
      <c r="BJ468" s="244"/>
      <c r="BK468" s="194">
        <f>BI468-BJ468</f>
        <v>0</v>
      </c>
      <c r="BL468" s="312"/>
      <c r="BM468" s="312"/>
      <c r="BN468" s="195">
        <f>BL468-BM468</f>
        <v>0</v>
      </c>
      <c r="BO468" s="251">
        <v>0</v>
      </c>
      <c r="BP468" s="364"/>
      <c r="BQ468" s="364"/>
      <c r="BR468" s="364"/>
      <c r="BS468" s="249" t="str">
        <f>AG468 &amp; BO468</f>
        <v>Амортизационные отчисления0</v>
      </c>
      <c r="BT468" s="364"/>
      <c r="BU468" s="364"/>
      <c r="BV468" s="364"/>
      <c r="BW468" s="364"/>
      <c r="BX468" s="364"/>
      <c r="BY468" s="249" t="str">
        <f>AG468&amp;AH468</f>
        <v>Амортизационные отчислениянет</v>
      </c>
      <c r="BZ468" s="250"/>
    </row>
    <row r="469" spans="3:78" ht="14.25">
      <c r="C469" s="97"/>
      <c r="D469" s="367"/>
      <c r="E469" s="370"/>
      <c r="F469" s="406"/>
      <c r="G469" s="376"/>
      <c r="H469" s="379"/>
      <c r="I469" s="382"/>
      <c r="J469" s="382"/>
      <c r="K469" s="385"/>
      <c r="L469" s="388"/>
      <c r="M469" s="391"/>
      <c r="N469" s="394"/>
      <c r="O469" s="397"/>
      <c r="P469" s="400"/>
      <c r="Q469" s="403"/>
      <c r="R469" s="362"/>
      <c r="S469" s="362"/>
      <c r="T469" s="362"/>
      <c r="U469" s="362"/>
      <c r="V469" s="362"/>
      <c r="W469" s="362"/>
      <c r="X469" s="362"/>
      <c r="Y469" s="362"/>
      <c r="Z469" s="362"/>
      <c r="AA469" s="362"/>
      <c r="AB469" s="362"/>
      <c r="AC469" s="362"/>
      <c r="AD469" s="362"/>
      <c r="AE469" s="322" t="s">
        <v>1240</v>
      </c>
      <c r="AF469" s="217" t="s">
        <v>118</v>
      </c>
      <c r="AG469" s="196" t="s">
        <v>223</v>
      </c>
      <c r="AH469" s="302" t="s">
        <v>19</v>
      </c>
      <c r="AI469" s="301" t="s">
        <v>154</v>
      </c>
      <c r="AJ469" s="221"/>
      <c r="AK469" s="221"/>
      <c r="AL469" s="221"/>
      <c r="AM469" s="221"/>
      <c r="AN469" s="221"/>
      <c r="AO469" s="221"/>
      <c r="AP469" s="302" t="s">
        <v>19</v>
      </c>
      <c r="AQ469" s="195">
        <f>SUM(AT469,AW469,AZ469,BC469,BF469,BI469,BL469)</f>
        <v>762.09759719605972</v>
      </c>
      <c r="AR469" s="197">
        <f>SUM(AT469,AX469,BA469,BD469,BG469,BJ469,BM469)</f>
        <v>0</v>
      </c>
      <c r="AS469" s="195">
        <f>AQ469-AR469</f>
        <v>762.09759719605972</v>
      </c>
      <c r="AT469" s="315"/>
      <c r="AU469" s="315"/>
      <c r="AV469" s="241"/>
      <c r="AW469" s="198"/>
      <c r="AX469" s="313"/>
      <c r="AY469" s="199">
        <f>AW469-AX469</f>
        <v>0</v>
      </c>
      <c r="AZ469" s="173">
        <f>4572.58558317636-AZ468</f>
        <v>762.09759719605972</v>
      </c>
      <c r="BA469" s="313"/>
      <c r="BB469" s="199">
        <f>AZ469-BA469</f>
        <v>762.09759719605972</v>
      </c>
      <c r="BC469" s="198"/>
      <c r="BD469" s="313"/>
      <c r="BE469" s="199">
        <f>BC469-BD469</f>
        <v>0</v>
      </c>
      <c r="BF469" s="198"/>
      <c r="BG469" s="241"/>
      <c r="BH469" s="199">
        <f>BF469-BG469</f>
        <v>0</v>
      </c>
      <c r="BI469" s="198"/>
      <c r="BJ469" s="241"/>
      <c r="BK469" s="199">
        <f>BI469-BJ469</f>
        <v>0</v>
      </c>
      <c r="BL469" s="313"/>
      <c r="BM469" s="313"/>
      <c r="BN469" s="195">
        <f>BL469-BM469</f>
        <v>0</v>
      </c>
      <c r="BO469" s="251">
        <v>0</v>
      </c>
      <c r="BP469" s="364"/>
      <c r="BQ469" s="364"/>
      <c r="BR469" s="364"/>
      <c r="BS469" s="249" t="str">
        <f>AG469 &amp; BO469</f>
        <v>Прочие собственные средства0</v>
      </c>
      <c r="BT469" s="364"/>
      <c r="BU469" s="364"/>
      <c r="BV469" s="364"/>
      <c r="BW469" s="364"/>
      <c r="BX469" s="364"/>
      <c r="BY469" s="249" t="str">
        <f>AG469&amp;AH469</f>
        <v>Прочие собственные средстванет</v>
      </c>
      <c r="BZ469" s="250"/>
    </row>
    <row r="470" spans="3:78" ht="15" customHeight="1">
      <c r="C470" s="306"/>
      <c r="D470" s="367"/>
      <c r="E470" s="370"/>
      <c r="F470" s="406"/>
      <c r="G470" s="376"/>
      <c r="H470" s="379"/>
      <c r="I470" s="382"/>
      <c r="J470" s="382"/>
      <c r="K470" s="385"/>
      <c r="L470" s="388"/>
      <c r="M470" s="391"/>
      <c r="N470" s="395"/>
      <c r="O470" s="398"/>
      <c r="P470" s="401"/>
      <c r="Q470" s="404"/>
      <c r="R470" s="363"/>
      <c r="S470" s="363"/>
      <c r="T470" s="363"/>
      <c r="U470" s="363"/>
      <c r="V470" s="363"/>
      <c r="W470" s="363"/>
      <c r="X470" s="363"/>
      <c r="Y470" s="363"/>
      <c r="Z470" s="363"/>
      <c r="AA470" s="363"/>
      <c r="AB470" s="363"/>
      <c r="AC470" s="363"/>
      <c r="AD470" s="363"/>
      <c r="AE470" s="279" t="s">
        <v>379</v>
      </c>
      <c r="AF470" s="203"/>
      <c r="AG470" s="223" t="s">
        <v>24</v>
      </c>
      <c r="AH470" s="223"/>
      <c r="AI470" s="223"/>
      <c r="AJ470" s="223"/>
      <c r="AK470" s="223"/>
      <c r="AL470" s="223"/>
      <c r="AM470" s="223"/>
      <c r="AN470" s="223"/>
      <c r="AO470" s="223"/>
      <c r="AP470" s="168"/>
      <c r="AQ470" s="169"/>
      <c r="AR470" s="169"/>
      <c r="AS470" s="169"/>
      <c r="AT470" s="169"/>
      <c r="AU470" s="169"/>
      <c r="AV470" s="169"/>
      <c r="AW470" s="169"/>
      <c r="AX470" s="169"/>
      <c r="AY470" s="169"/>
      <c r="AZ470" s="169"/>
      <c r="BA470" s="169"/>
      <c r="BB470" s="169"/>
      <c r="BC470" s="169"/>
      <c r="BD470" s="169"/>
      <c r="BE470" s="169"/>
      <c r="BF470" s="169"/>
      <c r="BG470" s="169"/>
      <c r="BH470" s="169"/>
      <c r="BI470" s="169"/>
      <c r="BJ470" s="169"/>
      <c r="BK470" s="169"/>
      <c r="BL470" s="169"/>
      <c r="BM470" s="169"/>
      <c r="BN470" s="170"/>
      <c r="BO470" s="251"/>
      <c r="BP470" s="364"/>
      <c r="BQ470" s="364"/>
      <c r="BR470" s="364"/>
      <c r="BS470" s="250"/>
      <c r="BT470" s="364"/>
      <c r="BU470" s="364"/>
      <c r="BV470" s="364"/>
      <c r="BW470" s="364"/>
      <c r="BX470" s="364"/>
      <c r="BY470" s="250"/>
    </row>
    <row r="471" spans="3:78" ht="15" customHeight="1" thickBot="1">
      <c r="C471" s="307"/>
      <c r="D471" s="368"/>
      <c r="E471" s="371"/>
      <c r="F471" s="407"/>
      <c r="G471" s="377"/>
      <c r="H471" s="380"/>
      <c r="I471" s="383"/>
      <c r="J471" s="383"/>
      <c r="K471" s="386"/>
      <c r="L471" s="389"/>
      <c r="M471" s="392"/>
      <c r="N471" s="280" t="s">
        <v>380</v>
      </c>
      <c r="O471" s="212"/>
      <c r="P471" s="365" t="s">
        <v>154</v>
      </c>
      <c r="Q471" s="365"/>
      <c r="R471" s="171"/>
      <c r="S471" s="171"/>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c r="BC471" s="166"/>
      <c r="BD471" s="166"/>
      <c r="BE471" s="166"/>
      <c r="BF471" s="166"/>
      <c r="BG471" s="166"/>
      <c r="BH471" s="166"/>
      <c r="BI471" s="166"/>
      <c r="BJ471" s="166"/>
      <c r="BK471" s="166"/>
      <c r="BL471" s="166"/>
      <c r="BM471" s="166"/>
      <c r="BN471" s="167"/>
      <c r="BO471" s="251"/>
      <c r="BP471" s="250"/>
      <c r="BQ471" s="250"/>
      <c r="BR471" s="250"/>
      <c r="BS471" s="250"/>
      <c r="BT471" s="250"/>
      <c r="BU471" s="250"/>
      <c r="BY471" s="250"/>
    </row>
    <row r="472" spans="3:78" ht="11.25" customHeight="1">
      <c r="C472" s="97" t="s">
        <v>1240</v>
      </c>
      <c r="D472" s="366" t="s">
        <v>1361</v>
      </c>
      <c r="E472" s="369" t="s">
        <v>199</v>
      </c>
      <c r="F472" s="405" t="s">
        <v>209</v>
      </c>
      <c r="G472" s="375" t="s">
        <v>1487</v>
      </c>
      <c r="H472" s="378" t="s">
        <v>715</v>
      </c>
      <c r="I472" s="381" t="s">
        <v>715</v>
      </c>
      <c r="J472" s="381" t="s">
        <v>716</v>
      </c>
      <c r="K472" s="384">
        <v>1</v>
      </c>
      <c r="L472" s="387" t="s">
        <v>4</v>
      </c>
      <c r="M472" s="390">
        <v>0</v>
      </c>
      <c r="N472" s="163"/>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c r="AL472" s="161"/>
      <c r="AM472" s="161"/>
      <c r="AN472" s="161"/>
      <c r="AO472" s="161"/>
      <c r="AP472" s="161"/>
      <c r="AQ472" s="161"/>
      <c r="AR472" s="161"/>
      <c r="AS472" s="161"/>
      <c r="AT472" s="161"/>
      <c r="AU472" s="161"/>
      <c r="AV472" s="161"/>
      <c r="AW472" s="161"/>
      <c r="AX472" s="161"/>
      <c r="AY472" s="161"/>
      <c r="AZ472" s="161"/>
      <c r="BA472" s="161"/>
      <c r="BB472" s="161"/>
      <c r="BC472" s="161"/>
      <c r="BD472" s="161"/>
      <c r="BE472" s="161"/>
      <c r="BF472" s="161"/>
      <c r="BG472" s="161"/>
      <c r="BH472" s="161"/>
      <c r="BI472" s="161"/>
      <c r="BJ472" s="161"/>
      <c r="BK472" s="161"/>
      <c r="BL472" s="161"/>
      <c r="BM472" s="161"/>
      <c r="BN472" s="162"/>
      <c r="BO472" s="251"/>
      <c r="BP472" s="250"/>
      <c r="BQ472" s="250"/>
      <c r="BR472" s="250"/>
      <c r="BS472" s="250"/>
      <c r="BT472" s="250"/>
      <c r="BU472" s="250"/>
      <c r="BY472" s="250"/>
    </row>
    <row r="473" spans="3:78" ht="11.25" customHeight="1">
      <c r="C473" s="306"/>
      <c r="D473" s="367"/>
      <c r="E473" s="370"/>
      <c r="F473" s="406"/>
      <c r="G473" s="376"/>
      <c r="H473" s="379"/>
      <c r="I473" s="382"/>
      <c r="J473" s="382"/>
      <c r="K473" s="385"/>
      <c r="L473" s="388"/>
      <c r="M473" s="391"/>
      <c r="N473" s="393"/>
      <c r="O473" s="396">
        <v>1</v>
      </c>
      <c r="P473" s="399" t="s">
        <v>1297</v>
      </c>
      <c r="Q473" s="402"/>
      <c r="R473" s="361" t="s">
        <v>154</v>
      </c>
      <c r="S473" s="361" t="s">
        <v>154</v>
      </c>
      <c r="T473" s="361" t="s">
        <v>154</v>
      </c>
      <c r="U473" s="361" t="s">
        <v>154</v>
      </c>
      <c r="V473" s="361" t="s">
        <v>154</v>
      </c>
      <c r="W473" s="361" t="s">
        <v>154</v>
      </c>
      <c r="X473" s="361" t="s">
        <v>154</v>
      </c>
      <c r="Y473" s="361" t="s">
        <v>154</v>
      </c>
      <c r="Z473" s="361" t="s">
        <v>154</v>
      </c>
      <c r="AA473" s="361" t="s">
        <v>154</v>
      </c>
      <c r="AB473" s="361" t="s">
        <v>154</v>
      </c>
      <c r="AC473" s="361" t="s">
        <v>154</v>
      </c>
      <c r="AD473" s="361" t="s">
        <v>154</v>
      </c>
      <c r="AE473" s="209"/>
      <c r="AF473" s="220">
        <v>0</v>
      </c>
      <c r="AG473" s="219" t="s">
        <v>308</v>
      </c>
      <c r="AH473" s="219"/>
      <c r="AI473" s="219"/>
      <c r="AJ473" s="219"/>
      <c r="AK473" s="219"/>
      <c r="AL473" s="219"/>
      <c r="AM473" s="219"/>
      <c r="AN473" s="219"/>
      <c r="AO473" s="219"/>
      <c r="AP473" s="164"/>
      <c r="AQ473" s="164"/>
      <c r="AR473" s="164"/>
      <c r="AS473" s="164"/>
      <c r="AT473" s="164"/>
      <c r="AU473" s="164"/>
      <c r="AV473" s="164"/>
      <c r="AW473" s="164"/>
      <c r="AX473" s="164"/>
      <c r="AY473" s="164"/>
      <c r="AZ473" s="164"/>
      <c r="BA473" s="164"/>
      <c r="BB473" s="164"/>
      <c r="BC473" s="164"/>
      <c r="BD473" s="164"/>
      <c r="BE473" s="164"/>
      <c r="BF473" s="164"/>
      <c r="BG473" s="164"/>
      <c r="BH473" s="164"/>
      <c r="BI473" s="164"/>
      <c r="BJ473" s="164"/>
      <c r="BK473" s="164"/>
      <c r="BL473" s="164"/>
      <c r="BM473" s="164"/>
      <c r="BN473" s="165"/>
      <c r="BO473" s="251"/>
      <c r="BP473" s="364" t="s">
        <v>1298</v>
      </c>
      <c r="BQ473" s="364" t="s">
        <v>1298</v>
      </c>
      <c r="BR473" s="364" t="s">
        <v>1298</v>
      </c>
      <c r="BS473" s="250"/>
      <c r="BT473" s="364" t="s">
        <v>1298</v>
      </c>
      <c r="BU473" s="364" t="s">
        <v>1298</v>
      </c>
      <c r="BV473" s="364" t="s">
        <v>1298</v>
      </c>
      <c r="BW473" s="364" t="s">
        <v>1298</v>
      </c>
      <c r="BX473" s="364" t="s">
        <v>1298</v>
      </c>
      <c r="BY473" s="250"/>
    </row>
    <row r="474" spans="3:78" ht="14.25">
      <c r="C474" s="306"/>
      <c r="D474" s="367"/>
      <c r="E474" s="370"/>
      <c r="F474" s="406"/>
      <c r="G474" s="376"/>
      <c r="H474" s="379"/>
      <c r="I474" s="382"/>
      <c r="J474" s="382"/>
      <c r="K474" s="385"/>
      <c r="L474" s="388"/>
      <c r="M474" s="391"/>
      <c r="N474" s="394"/>
      <c r="O474" s="397"/>
      <c r="P474" s="400"/>
      <c r="Q474" s="403"/>
      <c r="R474" s="362"/>
      <c r="S474" s="362"/>
      <c r="T474" s="362"/>
      <c r="U474" s="362"/>
      <c r="V474" s="362"/>
      <c r="W474" s="362"/>
      <c r="X474" s="362"/>
      <c r="Y474" s="362"/>
      <c r="Z474" s="362"/>
      <c r="AA474" s="362"/>
      <c r="AB474" s="362"/>
      <c r="AC474" s="362"/>
      <c r="AD474" s="362"/>
      <c r="AE474" s="193"/>
      <c r="AF474" s="217" t="s">
        <v>268</v>
      </c>
      <c r="AG474" s="158" t="s">
        <v>221</v>
      </c>
      <c r="AH474" s="300" t="s">
        <v>19</v>
      </c>
      <c r="AI474" s="301" t="s">
        <v>154</v>
      </c>
      <c r="AJ474" s="221"/>
      <c r="AK474" s="221"/>
      <c r="AL474" s="221"/>
      <c r="AM474" s="221"/>
      <c r="AN474" s="221"/>
      <c r="AO474" s="221"/>
      <c r="AP474" s="302" t="s">
        <v>19</v>
      </c>
      <c r="AQ474" s="195">
        <f>SUM(AT474,AW474,AZ474,BC474,BF474,BI474,BL474)</f>
        <v>1662.4650508629834</v>
      </c>
      <c r="AR474" s="197">
        <f>SUM(AT474,AX474,BA474,BD474,BG474,BJ474,BM474)</f>
        <v>0</v>
      </c>
      <c r="AS474" s="195">
        <f>AQ474-AR474</f>
        <v>1662.4650508629834</v>
      </c>
      <c r="AT474" s="312"/>
      <c r="AU474" s="312"/>
      <c r="AV474" s="244"/>
      <c r="AW474" s="159"/>
      <c r="AX474" s="312"/>
      <c r="AY474" s="194">
        <f>AW474-AX474</f>
        <v>0</v>
      </c>
      <c r="AZ474" s="160">
        <v>1662.4650508629834</v>
      </c>
      <c r="BA474" s="312"/>
      <c r="BB474" s="194">
        <f>AZ474-BA474</f>
        <v>1662.4650508629834</v>
      </c>
      <c r="BC474" s="159"/>
      <c r="BD474" s="312"/>
      <c r="BE474" s="194">
        <f>BC474-BD474</f>
        <v>0</v>
      </c>
      <c r="BF474" s="159"/>
      <c r="BG474" s="244"/>
      <c r="BH474" s="194">
        <f>BF474-BG474</f>
        <v>0</v>
      </c>
      <c r="BI474" s="159"/>
      <c r="BJ474" s="244"/>
      <c r="BK474" s="194">
        <f>BI474-BJ474</f>
        <v>0</v>
      </c>
      <c r="BL474" s="312"/>
      <c r="BM474" s="312"/>
      <c r="BN474" s="195">
        <f>BL474-BM474</f>
        <v>0</v>
      </c>
      <c r="BO474" s="251">
        <v>0</v>
      </c>
      <c r="BP474" s="364"/>
      <c r="BQ474" s="364"/>
      <c r="BR474" s="364"/>
      <c r="BS474" s="249" t="str">
        <f>AG474 &amp; BO474</f>
        <v>Амортизационные отчисления0</v>
      </c>
      <c r="BT474" s="364"/>
      <c r="BU474" s="364"/>
      <c r="BV474" s="364"/>
      <c r="BW474" s="364"/>
      <c r="BX474" s="364"/>
      <c r="BY474" s="249" t="str">
        <f>AG474&amp;AH474</f>
        <v>Амортизационные отчислениянет</v>
      </c>
      <c r="BZ474" s="250"/>
    </row>
    <row r="475" spans="3:78" ht="14.25">
      <c r="C475" s="97"/>
      <c r="D475" s="367"/>
      <c r="E475" s="370"/>
      <c r="F475" s="406"/>
      <c r="G475" s="376"/>
      <c r="H475" s="379"/>
      <c r="I475" s="382"/>
      <c r="J475" s="382"/>
      <c r="K475" s="385"/>
      <c r="L475" s="388"/>
      <c r="M475" s="391"/>
      <c r="N475" s="394"/>
      <c r="O475" s="397"/>
      <c r="P475" s="400"/>
      <c r="Q475" s="403"/>
      <c r="R475" s="362"/>
      <c r="S475" s="362"/>
      <c r="T475" s="362"/>
      <c r="U475" s="362"/>
      <c r="V475" s="362"/>
      <c r="W475" s="362"/>
      <c r="X475" s="362"/>
      <c r="Y475" s="362"/>
      <c r="Z475" s="362"/>
      <c r="AA475" s="362"/>
      <c r="AB475" s="362"/>
      <c r="AC475" s="362"/>
      <c r="AD475" s="362"/>
      <c r="AE475" s="322" t="s">
        <v>1240</v>
      </c>
      <c r="AF475" s="217" t="s">
        <v>118</v>
      </c>
      <c r="AG475" s="196" t="s">
        <v>223</v>
      </c>
      <c r="AH475" s="302" t="s">
        <v>19</v>
      </c>
      <c r="AI475" s="301" t="s">
        <v>154</v>
      </c>
      <c r="AJ475" s="221"/>
      <c r="AK475" s="221"/>
      <c r="AL475" s="221"/>
      <c r="AM475" s="221"/>
      <c r="AN475" s="221"/>
      <c r="AO475" s="221"/>
      <c r="AP475" s="302" t="s">
        <v>19</v>
      </c>
      <c r="AQ475" s="195">
        <f>SUM(AT475,AW475,AZ475,BC475,BF475,BI475,BL475)</f>
        <v>332.49301017259654</v>
      </c>
      <c r="AR475" s="197">
        <f>SUM(AT475,AX475,BA475,BD475,BG475,BJ475,BM475)</f>
        <v>0</v>
      </c>
      <c r="AS475" s="195">
        <f>AQ475-AR475</f>
        <v>332.49301017259654</v>
      </c>
      <c r="AT475" s="315"/>
      <c r="AU475" s="315"/>
      <c r="AV475" s="241"/>
      <c r="AW475" s="198"/>
      <c r="AX475" s="313"/>
      <c r="AY475" s="199">
        <f>AW475-AX475</f>
        <v>0</v>
      </c>
      <c r="AZ475" s="173">
        <f>1994.95806103558-AZ474</f>
        <v>332.49301017259654</v>
      </c>
      <c r="BA475" s="313"/>
      <c r="BB475" s="199">
        <f>AZ475-BA475</f>
        <v>332.49301017259654</v>
      </c>
      <c r="BC475" s="198"/>
      <c r="BD475" s="313"/>
      <c r="BE475" s="199">
        <f>BC475-BD475</f>
        <v>0</v>
      </c>
      <c r="BF475" s="198"/>
      <c r="BG475" s="241"/>
      <c r="BH475" s="199">
        <f>BF475-BG475</f>
        <v>0</v>
      </c>
      <c r="BI475" s="198"/>
      <c r="BJ475" s="241"/>
      <c r="BK475" s="199">
        <f>BI475-BJ475</f>
        <v>0</v>
      </c>
      <c r="BL475" s="313"/>
      <c r="BM475" s="313"/>
      <c r="BN475" s="195">
        <f>BL475-BM475</f>
        <v>0</v>
      </c>
      <c r="BO475" s="251">
        <v>0</v>
      </c>
      <c r="BP475" s="364"/>
      <c r="BQ475" s="364"/>
      <c r="BR475" s="364"/>
      <c r="BS475" s="249" t="str">
        <f>AG475 &amp; BO475</f>
        <v>Прочие собственные средства0</v>
      </c>
      <c r="BT475" s="364"/>
      <c r="BU475" s="364"/>
      <c r="BV475" s="364"/>
      <c r="BW475" s="364"/>
      <c r="BX475" s="364"/>
      <c r="BY475" s="249" t="str">
        <f>AG475&amp;AH475</f>
        <v>Прочие собственные средстванет</v>
      </c>
      <c r="BZ475" s="250"/>
    </row>
    <row r="476" spans="3:78" ht="15" customHeight="1">
      <c r="C476" s="306"/>
      <c r="D476" s="367"/>
      <c r="E476" s="370"/>
      <c r="F476" s="406"/>
      <c r="G476" s="376"/>
      <c r="H476" s="379"/>
      <c r="I476" s="382"/>
      <c r="J476" s="382"/>
      <c r="K476" s="385"/>
      <c r="L476" s="388"/>
      <c r="M476" s="391"/>
      <c r="N476" s="395"/>
      <c r="O476" s="398"/>
      <c r="P476" s="401"/>
      <c r="Q476" s="404"/>
      <c r="R476" s="363"/>
      <c r="S476" s="363"/>
      <c r="T476" s="363"/>
      <c r="U476" s="363"/>
      <c r="V476" s="363"/>
      <c r="W476" s="363"/>
      <c r="X476" s="363"/>
      <c r="Y476" s="363"/>
      <c r="Z476" s="363"/>
      <c r="AA476" s="363"/>
      <c r="AB476" s="363"/>
      <c r="AC476" s="363"/>
      <c r="AD476" s="363"/>
      <c r="AE476" s="279" t="s">
        <v>379</v>
      </c>
      <c r="AF476" s="203"/>
      <c r="AG476" s="223" t="s">
        <v>24</v>
      </c>
      <c r="AH476" s="223"/>
      <c r="AI476" s="223"/>
      <c r="AJ476" s="223"/>
      <c r="AK476" s="223"/>
      <c r="AL476" s="223"/>
      <c r="AM476" s="223"/>
      <c r="AN476" s="223"/>
      <c r="AO476" s="223"/>
      <c r="AP476" s="168"/>
      <c r="AQ476" s="169"/>
      <c r="AR476" s="169"/>
      <c r="AS476" s="169"/>
      <c r="AT476" s="169"/>
      <c r="AU476" s="169"/>
      <c r="AV476" s="169"/>
      <c r="AW476" s="169"/>
      <c r="AX476" s="169"/>
      <c r="AY476" s="169"/>
      <c r="AZ476" s="169"/>
      <c r="BA476" s="169"/>
      <c r="BB476" s="169"/>
      <c r="BC476" s="169"/>
      <c r="BD476" s="169"/>
      <c r="BE476" s="169"/>
      <c r="BF476" s="169"/>
      <c r="BG476" s="169"/>
      <c r="BH476" s="169"/>
      <c r="BI476" s="169"/>
      <c r="BJ476" s="169"/>
      <c r="BK476" s="169"/>
      <c r="BL476" s="169"/>
      <c r="BM476" s="169"/>
      <c r="BN476" s="170"/>
      <c r="BO476" s="251"/>
      <c r="BP476" s="364"/>
      <c r="BQ476" s="364"/>
      <c r="BR476" s="364"/>
      <c r="BS476" s="250"/>
      <c r="BT476" s="364"/>
      <c r="BU476" s="364"/>
      <c r="BV476" s="364"/>
      <c r="BW476" s="364"/>
      <c r="BX476" s="364"/>
      <c r="BY476" s="250"/>
    </row>
    <row r="477" spans="3:78" ht="15" customHeight="1" thickBot="1">
      <c r="C477" s="307"/>
      <c r="D477" s="368"/>
      <c r="E477" s="371"/>
      <c r="F477" s="407"/>
      <c r="G477" s="377"/>
      <c r="H477" s="380"/>
      <c r="I477" s="383"/>
      <c r="J477" s="383"/>
      <c r="K477" s="386"/>
      <c r="L477" s="389"/>
      <c r="M477" s="392"/>
      <c r="N477" s="280" t="s">
        <v>380</v>
      </c>
      <c r="O477" s="212"/>
      <c r="P477" s="365" t="s">
        <v>154</v>
      </c>
      <c r="Q477" s="365"/>
      <c r="R477" s="171"/>
      <c r="S477" s="171"/>
      <c r="T477" s="166"/>
      <c r="U477" s="166"/>
      <c r="V477" s="166"/>
      <c r="W477" s="166"/>
      <c r="X477" s="166"/>
      <c r="Y477" s="166"/>
      <c r="Z477" s="166"/>
      <c r="AA477" s="166"/>
      <c r="AB477" s="166"/>
      <c r="AC477" s="166"/>
      <c r="AD477" s="166"/>
      <c r="AE477" s="166"/>
      <c r="AF477" s="166"/>
      <c r="AG477" s="166"/>
      <c r="AH477" s="166"/>
      <c r="AI477" s="166"/>
      <c r="AJ477" s="166"/>
      <c r="AK477" s="166"/>
      <c r="AL477" s="166"/>
      <c r="AM477" s="166"/>
      <c r="AN477" s="166"/>
      <c r="AO477" s="166"/>
      <c r="AP477" s="166"/>
      <c r="AQ477" s="166"/>
      <c r="AR477" s="166"/>
      <c r="AS477" s="166"/>
      <c r="AT477" s="166"/>
      <c r="AU477" s="166"/>
      <c r="AV477" s="166"/>
      <c r="AW477" s="166"/>
      <c r="AX477" s="166"/>
      <c r="AY477" s="166"/>
      <c r="AZ477" s="166"/>
      <c r="BA477" s="166"/>
      <c r="BB477" s="166"/>
      <c r="BC477" s="166"/>
      <c r="BD477" s="166"/>
      <c r="BE477" s="166"/>
      <c r="BF477" s="166"/>
      <c r="BG477" s="166"/>
      <c r="BH477" s="166"/>
      <c r="BI477" s="166"/>
      <c r="BJ477" s="166"/>
      <c r="BK477" s="166"/>
      <c r="BL477" s="166"/>
      <c r="BM477" s="166"/>
      <c r="BN477" s="167"/>
      <c r="BO477" s="251"/>
      <c r="BP477" s="250"/>
      <c r="BQ477" s="250"/>
      <c r="BR477" s="250"/>
      <c r="BS477" s="250"/>
      <c r="BT477" s="250"/>
      <c r="BU477" s="250"/>
      <c r="BY477" s="250"/>
    </row>
    <row r="478" spans="3:78" ht="11.25" customHeight="1">
      <c r="C478" s="97" t="s">
        <v>1240</v>
      </c>
      <c r="D478" s="366" t="s">
        <v>1362</v>
      </c>
      <c r="E478" s="369" t="s">
        <v>199</v>
      </c>
      <c r="F478" s="405" t="s">
        <v>209</v>
      </c>
      <c r="G478" s="375" t="s">
        <v>1488</v>
      </c>
      <c r="H478" s="378" t="s">
        <v>715</v>
      </c>
      <c r="I478" s="381" t="s">
        <v>715</v>
      </c>
      <c r="J478" s="381" t="s">
        <v>716</v>
      </c>
      <c r="K478" s="384">
        <v>1</v>
      </c>
      <c r="L478" s="387" t="s">
        <v>4</v>
      </c>
      <c r="M478" s="390">
        <v>0</v>
      </c>
      <c r="N478" s="163"/>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61"/>
      <c r="AO478" s="161"/>
      <c r="AP478" s="161"/>
      <c r="AQ478" s="161"/>
      <c r="AR478" s="161"/>
      <c r="AS478" s="161"/>
      <c r="AT478" s="161"/>
      <c r="AU478" s="161"/>
      <c r="AV478" s="161"/>
      <c r="AW478" s="161"/>
      <c r="AX478" s="161"/>
      <c r="AY478" s="161"/>
      <c r="AZ478" s="161"/>
      <c r="BA478" s="161"/>
      <c r="BB478" s="161"/>
      <c r="BC478" s="161"/>
      <c r="BD478" s="161"/>
      <c r="BE478" s="161"/>
      <c r="BF478" s="161"/>
      <c r="BG478" s="161"/>
      <c r="BH478" s="161"/>
      <c r="BI478" s="161"/>
      <c r="BJ478" s="161"/>
      <c r="BK478" s="161"/>
      <c r="BL478" s="161"/>
      <c r="BM478" s="161"/>
      <c r="BN478" s="162"/>
      <c r="BO478" s="251"/>
      <c r="BP478" s="250"/>
      <c r="BQ478" s="250"/>
      <c r="BR478" s="250"/>
      <c r="BS478" s="250"/>
      <c r="BT478" s="250"/>
      <c r="BU478" s="250"/>
      <c r="BY478" s="250"/>
    </row>
    <row r="479" spans="3:78" ht="11.25" customHeight="1">
      <c r="C479" s="306"/>
      <c r="D479" s="367"/>
      <c r="E479" s="370"/>
      <c r="F479" s="406"/>
      <c r="G479" s="376"/>
      <c r="H479" s="379"/>
      <c r="I479" s="382"/>
      <c r="J479" s="382"/>
      <c r="K479" s="385"/>
      <c r="L479" s="388"/>
      <c r="M479" s="391"/>
      <c r="N479" s="393"/>
      <c r="O479" s="396">
        <v>1</v>
      </c>
      <c r="P479" s="399" t="s">
        <v>1297</v>
      </c>
      <c r="Q479" s="402"/>
      <c r="R479" s="361" t="s">
        <v>154</v>
      </c>
      <c r="S479" s="361" t="s">
        <v>154</v>
      </c>
      <c r="T479" s="361" t="s">
        <v>154</v>
      </c>
      <c r="U479" s="361" t="s">
        <v>154</v>
      </c>
      <c r="V479" s="361" t="s">
        <v>154</v>
      </c>
      <c r="W479" s="361" t="s">
        <v>154</v>
      </c>
      <c r="X479" s="361" t="s">
        <v>154</v>
      </c>
      <c r="Y479" s="361" t="s">
        <v>154</v>
      </c>
      <c r="Z479" s="361" t="s">
        <v>154</v>
      </c>
      <c r="AA479" s="361" t="s">
        <v>154</v>
      </c>
      <c r="AB479" s="361" t="s">
        <v>154</v>
      </c>
      <c r="AC479" s="361" t="s">
        <v>154</v>
      </c>
      <c r="AD479" s="361" t="s">
        <v>154</v>
      </c>
      <c r="AE479" s="209"/>
      <c r="AF479" s="220">
        <v>0</v>
      </c>
      <c r="AG479" s="219" t="s">
        <v>308</v>
      </c>
      <c r="AH479" s="219"/>
      <c r="AI479" s="219"/>
      <c r="AJ479" s="219"/>
      <c r="AK479" s="219"/>
      <c r="AL479" s="219"/>
      <c r="AM479" s="219"/>
      <c r="AN479" s="219"/>
      <c r="AO479" s="219"/>
      <c r="AP479" s="164"/>
      <c r="AQ479" s="164"/>
      <c r="AR479" s="164"/>
      <c r="AS479" s="164"/>
      <c r="AT479" s="164"/>
      <c r="AU479" s="164"/>
      <c r="AV479" s="164"/>
      <c r="AW479" s="164"/>
      <c r="AX479" s="164"/>
      <c r="AY479" s="164"/>
      <c r="AZ479" s="164"/>
      <c r="BA479" s="164"/>
      <c r="BB479" s="164"/>
      <c r="BC479" s="164"/>
      <c r="BD479" s="164"/>
      <c r="BE479" s="164"/>
      <c r="BF479" s="164"/>
      <c r="BG479" s="164"/>
      <c r="BH479" s="164"/>
      <c r="BI479" s="164"/>
      <c r="BJ479" s="164"/>
      <c r="BK479" s="164"/>
      <c r="BL479" s="164"/>
      <c r="BM479" s="164"/>
      <c r="BN479" s="165"/>
      <c r="BO479" s="251"/>
      <c r="BP479" s="364" t="s">
        <v>1298</v>
      </c>
      <c r="BQ479" s="364" t="s">
        <v>1298</v>
      </c>
      <c r="BR479" s="364" t="s">
        <v>1298</v>
      </c>
      <c r="BS479" s="250"/>
      <c r="BT479" s="364" t="s">
        <v>1298</v>
      </c>
      <c r="BU479" s="364" t="s">
        <v>1298</v>
      </c>
      <c r="BV479" s="364" t="s">
        <v>1298</v>
      </c>
      <c r="BW479" s="364" t="s">
        <v>1298</v>
      </c>
      <c r="BX479" s="364" t="s">
        <v>1298</v>
      </c>
      <c r="BY479" s="250"/>
    </row>
    <row r="480" spans="3:78" ht="14.25">
      <c r="C480" s="306"/>
      <c r="D480" s="367"/>
      <c r="E480" s="370"/>
      <c r="F480" s="406"/>
      <c r="G480" s="376"/>
      <c r="H480" s="379"/>
      <c r="I480" s="382"/>
      <c r="J480" s="382"/>
      <c r="K480" s="385"/>
      <c r="L480" s="388"/>
      <c r="M480" s="391"/>
      <c r="N480" s="394"/>
      <c r="O480" s="397"/>
      <c r="P480" s="400"/>
      <c r="Q480" s="403"/>
      <c r="R480" s="362"/>
      <c r="S480" s="362"/>
      <c r="T480" s="362"/>
      <c r="U480" s="362"/>
      <c r="V480" s="362"/>
      <c r="W480" s="362"/>
      <c r="X480" s="362"/>
      <c r="Y480" s="362"/>
      <c r="Z480" s="362"/>
      <c r="AA480" s="362"/>
      <c r="AB480" s="362"/>
      <c r="AC480" s="362"/>
      <c r="AD480" s="362"/>
      <c r="AE480" s="193"/>
      <c r="AF480" s="217" t="s">
        <v>268</v>
      </c>
      <c r="AG480" s="158" t="s">
        <v>221</v>
      </c>
      <c r="AH480" s="300" t="s">
        <v>19</v>
      </c>
      <c r="AI480" s="301" t="s">
        <v>154</v>
      </c>
      <c r="AJ480" s="221"/>
      <c r="AK480" s="221"/>
      <c r="AL480" s="221"/>
      <c r="AM480" s="221"/>
      <c r="AN480" s="221"/>
      <c r="AO480" s="221"/>
      <c r="AP480" s="302" t="s">
        <v>19</v>
      </c>
      <c r="AQ480" s="195">
        <f>SUM(AT480,AW480,AZ480,BC480,BF480,BI480,BL480)</f>
        <v>3683.7562803811338</v>
      </c>
      <c r="AR480" s="197">
        <f>SUM(AT480,AX480,BA480,BD480,BG480,BJ480,BM480)</f>
        <v>0</v>
      </c>
      <c r="AS480" s="195">
        <f>AQ480-AR480</f>
        <v>3683.7562803811338</v>
      </c>
      <c r="AT480" s="312"/>
      <c r="AU480" s="312"/>
      <c r="AV480" s="244"/>
      <c r="AW480" s="159"/>
      <c r="AX480" s="312"/>
      <c r="AY480" s="194">
        <f>AW480-AX480</f>
        <v>0</v>
      </c>
      <c r="AZ480" s="160">
        <v>3683.7562803811338</v>
      </c>
      <c r="BA480" s="312"/>
      <c r="BB480" s="194">
        <f>AZ480-BA480</f>
        <v>3683.7562803811338</v>
      </c>
      <c r="BC480" s="159"/>
      <c r="BD480" s="312"/>
      <c r="BE480" s="194">
        <f>BC480-BD480</f>
        <v>0</v>
      </c>
      <c r="BF480" s="159"/>
      <c r="BG480" s="244"/>
      <c r="BH480" s="194">
        <f>BF480-BG480</f>
        <v>0</v>
      </c>
      <c r="BI480" s="159"/>
      <c r="BJ480" s="244"/>
      <c r="BK480" s="194">
        <f>BI480-BJ480</f>
        <v>0</v>
      </c>
      <c r="BL480" s="312"/>
      <c r="BM480" s="312"/>
      <c r="BN480" s="195">
        <f>BL480-BM480</f>
        <v>0</v>
      </c>
      <c r="BO480" s="251">
        <v>0</v>
      </c>
      <c r="BP480" s="364"/>
      <c r="BQ480" s="364"/>
      <c r="BR480" s="364"/>
      <c r="BS480" s="249" t="str">
        <f>AG480 &amp; BO480</f>
        <v>Амортизационные отчисления0</v>
      </c>
      <c r="BT480" s="364"/>
      <c r="BU480" s="364"/>
      <c r="BV480" s="364"/>
      <c r="BW480" s="364"/>
      <c r="BX480" s="364"/>
      <c r="BY480" s="249" t="str">
        <f>AG480&amp;AH480</f>
        <v>Амортизационные отчислениянет</v>
      </c>
      <c r="BZ480" s="250"/>
    </row>
    <row r="481" spans="3:78" ht="14.25">
      <c r="C481" s="97"/>
      <c r="D481" s="367"/>
      <c r="E481" s="370"/>
      <c r="F481" s="406"/>
      <c r="G481" s="376"/>
      <c r="H481" s="379"/>
      <c r="I481" s="382"/>
      <c r="J481" s="382"/>
      <c r="K481" s="385"/>
      <c r="L481" s="388"/>
      <c r="M481" s="391"/>
      <c r="N481" s="394"/>
      <c r="O481" s="397"/>
      <c r="P481" s="400"/>
      <c r="Q481" s="403"/>
      <c r="R481" s="362"/>
      <c r="S481" s="362"/>
      <c r="T481" s="362"/>
      <c r="U481" s="362"/>
      <c r="V481" s="362"/>
      <c r="W481" s="362"/>
      <c r="X481" s="362"/>
      <c r="Y481" s="362"/>
      <c r="Z481" s="362"/>
      <c r="AA481" s="362"/>
      <c r="AB481" s="362"/>
      <c r="AC481" s="362"/>
      <c r="AD481" s="362"/>
      <c r="AE481" s="322" t="s">
        <v>1240</v>
      </c>
      <c r="AF481" s="217" t="s">
        <v>118</v>
      </c>
      <c r="AG481" s="196" t="s">
        <v>223</v>
      </c>
      <c r="AH481" s="302" t="s">
        <v>19</v>
      </c>
      <c r="AI481" s="301" t="s">
        <v>154</v>
      </c>
      <c r="AJ481" s="221"/>
      <c r="AK481" s="221"/>
      <c r="AL481" s="221"/>
      <c r="AM481" s="221"/>
      <c r="AN481" s="221"/>
      <c r="AO481" s="221"/>
      <c r="AP481" s="302" t="s">
        <v>19</v>
      </c>
      <c r="AQ481" s="195">
        <f>SUM(AT481,AW481,AZ481,BC481,BF481,BI481,BL481)</f>
        <v>736.75125607622658</v>
      </c>
      <c r="AR481" s="197">
        <f>SUM(AT481,AX481,BA481,BD481,BG481,BJ481,BM481)</f>
        <v>0</v>
      </c>
      <c r="AS481" s="195">
        <f>AQ481-AR481</f>
        <v>736.75125607622658</v>
      </c>
      <c r="AT481" s="315"/>
      <c r="AU481" s="315"/>
      <c r="AV481" s="241"/>
      <c r="AW481" s="198"/>
      <c r="AX481" s="313"/>
      <c r="AY481" s="199">
        <f>AW481-AX481</f>
        <v>0</v>
      </c>
      <c r="AZ481" s="173">
        <f>4420.50753645736-AZ480</f>
        <v>736.75125607622658</v>
      </c>
      <c r="BA481" s="313"/>
      <c r="BB481" s="199">
        <f>AZ481-BA481</f>
        <v>736.75125607622658</v>
      </c>
      <c r="BC481" s="198"/>
      <c r="BD481" s="313"/>
      <c r="BE481" s="199">
        <f>BC481-BD481</f>
        <v>0</v>
      </c>
      <c r="BF481" s="198"/>
      <c r="BG481" s="241"/>
      <c r="BH481" s="199">
        <f>BF481-BG481</f>
        <v>0</v>
      </c>
      <c r="BI481" s="198"/>
      <c r="BJ481" s="241"/>
      <c r="BK481" s="199">
        <f>BI481-BJ481</f>
        <v>0</v>
      </c>
      <c r="BL481" s="313"/>
      <c r="BM481" s="313"/>
      <c r="BN481" s="195">
        <f>BL481-BM481</f>
        <v>0</v>
      </c>
      <c r="BO481" s="251">
        <v>0</v>
      </c>
      <c r="BP481" s="364"/>
      <c r="BQ481" s="364"/>
      <c r="BR481" s="364"/>
      <c r="BS481" s="249" t="str">
        <f>AG481 &amp; BO481</f>
        <v>Прочие собственные средства0</v>
      </c>
      <c r="BT481" s="364"/>
      <c r="BU481" s="364"/>
      <c r="BV481" s="364"/>
      <c r="BW481" s="364"/>
      <c r="BX481" s="364"/>
      <c r="BY481" s="249" t="str">
        <f>AG481&amp;AH481</f>
        <v>Прочие собственные средстванет</v>
      </c>
      <c r="BZ481" s="250"/>
    </row>
    <row r="482" spans="3:78" ht="15" customHeight="1">
      <c r="C482" s="306"/>
      <c r="D482" s="367"/>
      <c r="E482" s="370"/>
      <c r="F482" s="406"/>
      <c r="G482" s="376"/>
      <c r="H482" s="379"/>
      <c r="I482" s="382"/>
      <c r="J482" s="382"/>
      <c r="K482" s="385"/>
      <c r="L482" s="388"/>
      <c r="M482" s="391"/>
      <c r="N482" s="395"/>
      <c r="O482" s="398"/>
      <c r="P482" s="401"/>
      <c r="Q482" s="404"/>
      <c r="R482" s="363"/>
      <c r="S482" s="363"/>
      <c r="T482" s="363"/>
      <c r="U482" s="363"/>
      <c r="V482" s="363"/>
      <c r="W482" s="363"/>
      <c r="X482" s="363"/>
      <c r="Y482" s="363"/>
      <c r="Z482" s="363"/>
      <c r="AA482" s="363"/>
      <c r="AB482" s="363"/>
      <c r="AC482" s="363"/>
      <c r="AD482" s="363"/>
      <c r="AE482" s="279" t="s">
        <v>379</v>
      </c>
      <c r="AF482" s="203"/>
      <c r="AG482" s="223" t="s">
        <v>24</v>
      </c>
      <c r="AH482" s="223"/>
      <c r="AI482" s="223"/>
      <c r="AJ482" s="223"/>
      <c r="AK482" s="223"/>
      <c r="AL482" s="223"/>
      <c r="AM482" s="223"/>
      <c r="AN482" s="223"/>
      <c r="AO482" s="223"/>
      <c r="AP482" s="168"/>
      <c r="AQ482" s="169"/>
      <c r="AR482" s="169"/>
      <c r="AS482" s="169"/>
      <c r="AT482" s="169"/>
      <c r="AU482" s="169"/>
      <c r="AV482" s="169"/>
      <c r="AW482" s="169"/>
      <c r="AX482" s="169"/>
      <c r="AY482" s="169"/>
      <c r="AZ482" s="169"/>
      <c r="BA482" s="169"/>
      <c r="BB482" s="169"/>
      <c r="BC482" s="169"/>
      <c r="BD482" s="169"/>
      <c r="BE482" s="169"/>
      <c r="BF482" s="169"/>
      <c r="BG482" s="169"/>
      <c r="BH482" s="169"/>
      <c r="BI482" s="169"/>
      <c r="BJ482" s="169"/>
      <c r="BK482" s="169"/>
      <c r="BL482" s="169"/>
      <c r="BM482" s="169"/>
      <c r="BN482" s="170"/>
      <c r="BO482" s="251"/>
      <c r="BP482" s="364"/>
      <c r="BQ482" s="364"/>
      <c r="BR482" s="364"/>
      <c r="BS482" s="250"/>
      <c r="BT482" s="364"/>
      <c r="BU482" s="364"/>
      <c r="BV482" s="364"/>
      <c r="BW482" s="364"/>
      <c r="BX482" s="364"/>
      <c r="BY482" s="250"/>
    </row>
    <row r="483" spans="3:78" ht="15" customHeight="1" thickBot="1">
      <c r="C483" s="307"/>
      <c r="D483" s="368"/>
      <c r="E483" s="371"/>
      <c r="F483" s="407"/>
      <c r="G483" s="377"/>
      <c r="H483" s="380"/>
      <c r="I483" s="383"/>
      <c r="J483" s="383"/>
      <c r="K483" s="386"/>
      <c r="L483" s="389"/>
      <c r="M483" s="392"/>
      <c r="N483" s="280" t="s">
        <v>380</v>
      </c>
      <c r="O483" s="212"/>
      <c r="P483" s="365" t="s">
        <v>154</v>
      </c>
      <c r="Q483" s="365"/>
      <c r="R483" s="171"/>
      <c r="S483" s="171"/>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6"/>
      <c r="AY483" s="166"/>
      <c r="AZ483" s="166"/>
      <c r="BA483" s="166"/>
      <c r="BB483" s="166"/>
      <c r="BC483" s="166"/>
      <c r="BD483" s="166"/>
      <c r="BE483" s="166"/>
      <c r="BF483" s="166"/>
      <c r="BG483" s="166"/>
      <c r="BH483" s="166"/>
      <c r="BI483" s="166"/>
      <c r="BJ483" s="166"/>
      <c r="BK483" s="166"/>
      <c r="BL483" s="166"/>
      <c r="BM483" s="166"/>
      <c r="BN483" s="167"/>
      <c r="BO483" s="251"/>
      <c r="BP483" s="250"/>
      <c r="BQ483" s="250"/>
      <c r="BR483" s="250"/>
      <c r="BS483" s="250"/>
      <c r="BT483" s="250"/>
      <c r="BU483" s="250"/>
      <c r="BY483" s="250"/>
    </row>
    <row r="484" spans="3:78" ht="11.25" customHeight="1">
      <c r="C484" s="97" t="s">
        <v>1240</v>
      </c>
      <c r="D484" s="366" t="s">
        <v>1363</v>
      </c>
      <c r="E484" s="369" t="s">
        <v>199</v>
      </c>
      <c r="F484" s="405" t="s">
        <v>209</v>
      </c>
      <c r="G484" s="375" t="s">
        <v>1489</v>
      </c>
      <c r="H484" s="378" t="s">
        <v>715</v>
      </c>
      <c r="I484" s="381" t="s">
        <v>715</v>
      </c>
      <c r="J484" s="381" t="s">
        <v>716</v>
      </c>
      <c r="K484" s="384">
        <v>1</v>
      </c>
      <c r="L484" s="387" t="s">
        <v>4</v>
      </c>
      <c r="M484" s="390">
        <v>0</v>
      </c>
      <c r="N484" s="163"/>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c r="AX484" s="161"/>
      <c r="AY484" s="161"/>
      <c r="AZ484" s="161"/>
      <c r="BA484" s="161"/>
      <c r="BB484" s="161"/>
      <c r="BC484" s="161"/>
      <c r="BD484" s="161"/>
      <c r="BE484" s="161"/>
      <c r="BF484" s="161"/>
      <c r="BG484" s="161"/>
      <c r="BH484" s="161"/>
      <c r="BI484" s="161"/>
      <c r="BJ484" s="161"/>
      <c r="BK484" s="161"/>
      <c r="BL484" s="161"/>
      <c r="BM484" s="161"/>
      <c r="BN484" s="162"/>
      <c r="BO484" s="251"/>
      <c r="BP484" s="250"/>
      <c r="BQ484" s="250"/>
      <c r="BR484" s="250"/>
      <c r="BS484" s="250"/>
      <c r="BT484" s="250"/>
      <c r="BU484" s="250"/>
      <c r="BY484" s="250"/>
    </row>
    <row r="485" spans="3:78" ht="11.25" customHeight="1">
      <c r="C485" s="306"/>
      <c r="D485" s="367"/>
      <c r="E485" s="370"/>
      <c r="F485" s="406"/>
      <c r="G485" s="376"/>
      <c r="H485" s="379"/>
      <c r="I485" s="382"/>
      <c r="J485" s="382"/>
      <c r="K485" s="385"/>
      <c r="L485" s="388"/>
      <c r="M485" s="391"/>
      <c r="N485" s="393"/>
      <c r="O485" s="396">
        <v>1</v>
      </c>
      <c r="P485" s="399" t="s">
        <v>1297</v>
      </c>
      <c r="Q485" s="402"/>
      <c r="R485" s="361" t="s">
        <v>154</v>
      </c>
      <c r="S485" s="361" t="s">
        <v>154</v>
      </c>
      <c r="T485" s="361" t="s">
        <v>154</v>
      </c>
      <c r="U485" s="361" t="s">
        <v>154</v>
      </c>
      <c r="V485" s="361" t="s">
        <v>154</v>
      </c>
      <c r="W485" s="361" t="s">
        <v>154</v>
      </c>
      <c r="X485" s="361" t="s">
        <v>154</v>
      </c>
      <c r="Y485" s="361" t="s">
        <v>154</v>
      </c>
      <c r="Z485" s="361" t="s">
        <v>154</v>
      </c>
      <c r="AA485" s="361" t="s">
        <v>154</v>
      </c>
      <c r="AB485" s="361" t="s">
        <v>154</v>
      </c>
      <c r="AC485" s="361" t="s">
        <v>154</v>
      </c>
      <c r="AD485" s="361" t="s">
        <v>154</v>
      </c>
      <c r="AE485" s="209"/>
      <c r="AF485" s="220">
        <v>0</v>
      </c>
      <c r="AG485" s="219" t="s">
        <v>308</v>
      </c>
      <c r="AH485" s="219"/>
      <c r="AI485" s="219"/>
      <c r="AJ485" s="219"/>
      <c r="AK485" s="219"/>
      <c r="AL485" s="219"/>
      <c r="AM485" s="219"/>
      <c r="AN485" s="219"/>
      <c r="AO485" s="219"/>
      <c r="AP485" s="164"/>
      <c r="AQ485" s="164"/>
      <c r="AR485" s="164"/>
      <c r="AS485" s="164"/>
      <c r="AT485" s="164"/>
      <c r="AU485" s="164"/>
      <c r="AV485" s="164"/>
      <c r="AW485" s="164"/>
      <c r="AX485" s="164"/>
      <c r="AY485" s="164"/>
      <c r="AZ485" s="164"/>
      <c r="BA485" s="164"/>
      <c r="BB485" s="164"/>
      <c r="BC485" s="164"/>
      <c r="BD485" s="164"/>
      <c r="BE485" s="164"/>
      <c r="BF485" s="164"/>
      <c r="BG485" s="164"/>
      <c r="BH485" s="164"/>
      <c r="BI485" s="164"/>
      <c r="BJ485" s="164"/>
      <c r="BK485" s="164"/>
      <c r="BL485" s="164"/>
      <c r="BM485" s="164"/>
      <c r="BN485" s="165"/>
      <c r="BO485" s="251"/>
      <c r="BP485" s="364" t="s">
        <v>1298</v>
      </c>
      <c r="BQ485" s="364" t="s">
        <v>1298</v>
      </c>
      <c r="BR485" s="364" t="s">
        <v>1298</v>
      </c>
      <c r="BS485" s="250"/>
      <c r="BT485" s="364" t="s">
        <v>1298</v>
      </c>
      <c r="BU485" s="364" t="s">
        <v>1298</v>
      </c>
      <c r="BV485" s="364" t="s">
        <v>1298</v>
      </c>
      <c r="BW485" s="364" t="s">
        <v>1298</v>
      </c>
      <c r="BX485" s="364" t="s">
        <v>1298</v>
      </c>
      <c r="BY485" s="250"/>
    </row>
    <row r="486" spans="3:78" ht="14.25">
      <c r="C486" s="306"/>
      <c r="D486" s="367"/>
      <c r="E486" s="370"/>
      <c r="F486" s="406"/>
      <c r="G486" s="376"/>
      <c r="H486" s="379"/>
      <c r="I486" s="382"/>
      <c r="J486" s="382"/>
      <c r="K486" s="385"/>
      <c r="L486" s="388"/>
      <c r="M486" s="391"/>
      <c r="N486" s="394"/>
      <c r="O486" s="397"/>
      <c r="P486" s="400"/>
      <c r="Q486" s="403"/>
      <c r="R486" s="362"/>
      <c r="S486" s="362"/>
      <c r="T486" s="362"/>
      <c r="U486" s="362"/>
      <c r="V486" s="362"/>
      <c r="W486" s="362"/>
      <c r="X486" s="362"/>
      <c r="Y486" s="362"/>
      <c r="Z486" s="362"/>
      <c r="AA486" s="362"/>
      <c r="AB486" s="362"/>
      <c r="AC486" s="362"/>
      <c r="AD486" s="362"/>
      <c r="AE486" s="193"/>
      <c r="AF486" s="217" t="s">
        <v>268</v>
      </c>
      <c r="AG486" s="158" t="s">
        <v>221</v>
      </c>
      <c r="AH486" s="300" t="s">
        <v>19</v>
      </c>
      <c r="AI486" s="301" t="s">
        <v>154</v>
      </c>
      <c r="AJ486" s="221"/>
      <c r="AK486" s="221"/>
      <c r="AL486" s="221"/>
      <c r="AM486" s="221"/>
      <c r="AN486" s="221"/>
      <c r="AO486" s="221"/>
      <c r="AP486" s="302" t="s">
        <v>19</v>
      </c>
      <c r="AQ486" s="195">
        <f>SUM(AT486,AW486,AZ486,BC486,BF486,BI486,BL486)</f>
        <v>2056.8149977373168</v>
      </c>
      <c r="AR486" s="197">
        <f>SUM(AT486,AX486,BA486,BD486,BG486,BJ486,BM486)</f>
        <v>0</v>
      </c>
      <c r="AS486" s="195">
        <f>AQ486-AR486</f>
        <v>2056.8149977373168</v>
      </c>
      <c r="AT486" s="312"/>
      <c r="AU486" s="312"/>
      <c r="AV486" s="244"/>
      <c r="AW486" s="159"/>
      <c r="AX486" s="312"/>
      <c r="AY486" s="194">
        <f>AW486-AX486</f>
        <v>0</v>
      </c>
      <c r="AZ486" s="160">
        <v>2056.8149977373168</v>
      </c>
      <c r="BA486" s="312"/>
      <c r="BB486" s="194">
        <f>AZ486-BA486</f>
        <v>2056.8149977373168</v>
      </c>
      <c r="BC486" s="159"/>
      <c r="BD486" s="312"/>
      <c r="BE486" s="194">
        <f>BC486-BD486</f>
        <v>0</v>
      </c>
      <c r="BF486" s="159"/>
      <c r="BG486" s="244"/>
      <c r="BH486" s="194">
        <f>BF486-BG486</f>
        <v>0</v>
      </c>
      <c r="BI486" s="159"/>
      <c r="BJ486" s="244"/>
      <c r="BK486" s="194">
        <f>BI486-BJ486</f>
        <v>0</v>
      </c>
      <c r="BL486" s="312"/>
      <c r="BM486" s="312"/>
      <c r="BN486" s="195">
        <f>BL486-BM486</f>
        <v>0</v>
      </c>
      <c r="BO486" s="251">
        <v>0</v>
      </c>
      <c r="BP486" s="364"/>
      <c r="BQ486" s="364"/>
      <c r="BR486" s="364"/>
      <c r="BS486" s="249" t="str">
        <f>AG486 &amp; BO486</f>
        <v>Амортизационные отчисления0</v>
      </c>
      <c r="BT486" s="364"/>
      <c r="BU486" s="364"/>
      <c r="BV486" s="364"/>
      <c r="BW486" s="364"/>
      <c r="BX486" s="364"/>
      <c r="BY486" s="249" t="str">
        <f>AG486&amp;AH486</f>
        <v>Амортизационные отчислениянет</v>
      </c>
      <c r="BZ486" s="250"/>
    </row>
    <row r="487" spans="3:78" ht="14.25">
      <c r="C487" s="97"/>
      <c r="D487" s="367"/>
      <c r="E487" s="370"/>
      <c r="F487" s="406"/>
      <c r="G487" s="376"/>
      <c r="H487" s="379"/>
      <c r="I487" s="382"/>
      <c r="J487" s="382"/>
      <c r="K487" s="385"/>
      <c r="L487" s="388"/>
      <c r="M487" s="391"/>
      <c r="N487" s="394"/>
      <c r="O487" s="397"/>
      <c r="P487" s="400"/>
      <c r="Q487" s="403"/>
      <c r="R487" s="362"/>
      <c r="S487" s="362"/>
      <c r="T487" s="362"/>
      <c r="U487" s="362"/>
      <c r="V487" s="362"/>
      <c r="W487" s="362"/>
      <c r="X487" s="362"/>
      <c r="Y487" s="362"/>
      <c r="Z487" s="362"/>
      <c r="AA487" s="362"/>
      <c r="AB487" s="362"/>
      <c r="AC487" s="362"/>
      <c r="AD487" s="362"/>
      <c r="AE487" s="322" t="s">
        <v>1240</v>
      </c>
      <c r="AF487" s="217" t="s">
        <v>118</v>
      </c>
      <c r="AG487" s="196" t="s">
        <v>223</v>
      </c>
      <c r="AH487" s="302" t="s">
        <v>19</v>
      </c>
      <c r="AI487" s="301" t="s">
        <v>154</v>
      </c>
      <c r="AJ487" s="221"/>
      <c r="AK487" s="221"/>
      <c r="AL487" s="221"/>
      <c r="AM487" s="221"/>
      <c r="AN487" s="221"/>
      <c r="AO487" s="221"/>
      <c r="AP487" s="302" t="s">
        <v>19</v>
      </c>
      <c r="AQ487" s="195">
        <f>SUM(AT487,AW487,AZ487,BC487,BF487,BI487,BL487)</f>
        <v>411.36299954746301</v>
      </c>
      <c r="AR487" s="197">
        <f>SUM(AT487,AX487,BA487,BD487,BG487,BJ487,BM487)</f>
        <v>0</v>
      </c>
      <c r="AS487" s="195">
        <f>AQ487-AR487</f>
        <v>411.36299954746301</v>
      </c>
      <c r="AT487" s="315"/>
      <c r="AU487" s="315"/>
      <c r="AV487" s="241"/>
      <c r="AW487" s="198"/>
      <c r="AX487" s="313"/>
      <c r="AY487" s="199">
        <f>AW487-AX487</f>
        <v>0</v>
      </c>
      <c r="AZ487" s="173">
        <f>2468.17799728478-AZ486</f>
        <v>411.36299954746301</v>
      </c>
      <c r="BA487" s="313"/>
      <c r="BB487" s="199">
        <f>AZ487-BA487</f>
        <v>411.36299954746301</v>
      </c>
      <c r="BC487" s="198"/>
      <c r="BD487" s="313"/>
      <c r="BE487" s="199">
        <f>BC487-BD487</f>
        <v>0</v>
      </c>
      <c r="BF487" s="198"/>
      <c r="BG487" s="241"/>
      <c r="BH487" s="199">
        <f>BF487-BG487</f>
        <v>0</v>
      </c>
      <c r="BI487" s="198"/>
      <c r="BJ487" s="241"/>
      <c r="BK487" s="199">
        <f>BI487-BJ487</f>
        <v>0</v>
      </c>
      <c r="BL487" s="313"/>
      <c r="BM487" s="313"/>
      <c r="BN487" s="195">
        <f>BL487-BM487</f>
        <v>0</v>
      </c>
      <c r="BO487" s="251">
        <v>0</v>
      </c>
      <c r="BP487" s="364"/>
      <c r="BQ487" s="364"/>
      <c r="BR487" s="364"/>
      <c r="BS487" s="249" t="str">
        <f>AG487 &amp; BO487</f>
        <v>Прочие собственные средства0</v>
      </c>
      <c r="BT487" s="364"/>
      <c r="BU487" s="364"/>
      <c r="BV487" s="364"/>
      <c r="BW487" s="364"/>
      <c r="BX487" s="364"/>
      <c r="BY487" s="249" t="str">
        <f>AG487&amp;AH487</f>
        <v>Прочие собственные средстванет</v>
      </c>
      <c r="BZ487" s="250"/>
    </row>
    <row r="488" spans="3:78" ht="15" customHeight="1">
      <c r="C488" s="306"/>
      <c r="D488" s="367"/>
      <c r="E488" s="370"/>
      <c r="F488" s="406"/>
      <c r="G488" s="376"/>
      <c r="H488" s="379"/>
      <c r="I488" s="382"/>
      <c r="J488" s="382"/>
      <c r="K488" s="385"/>
      <c r="L488" s="388"/>
      <c r="M488" s="391"/>
      <c r="N488" s="395"/>
      <c r="O488" s="398"/>
      <c r="P488" s="401"/>
      <c r="Q488" s="404"/>
      <c r="R488" s="363"/>
      <c r="S488" s="363"/>
      <c r="T488" s="363"/>
      <c r="U488" s="363"/>
      <c r="V488" s="363"/>
      <c r="W488" s="363"/>
      <c r="X488" s="363"/>
      <c r="Y488" s="363"/>
      <c r="Z488" s="363"/>
      <c r="AA488" s="363"/>
      <c r="AB488" s="363"/>
      <c r="AC488" s="363"/>
      <c r="AD488" s="363"/>
      <c r="AE488" s="279" t="s">
        <v>379</v>
      </c>
      <c r="AF488" s="203"/>
      <c r="AG488" s="223" t="s">
        <v>24</v>
      </c>
      <c r="AH488" s="223"/>
      <c r="AI488" s="223"/>
      <c r="AJ488" s="223"/>
      <c r="AK488" s="223"/>
      <c r="AL488" s="223"/>
      <c r="AM488" s="223"/>
      <c r="AN488" s="223"/>
      <c r="AO488" s="223"/>
      <c r="AP488" s="168"/>
      <c r="AQ488" s="169"/>
      <c r="AR488" s="169"/>
      <c r="AS488" s="169"/>
      <c r="AT488" s="169"/>
      <c r="AU488" s="169"/>
      <c r="AV488" s="169"/>
      <c r="AW488" s="169"/>
      <c r="AX488" s="169"/>
      <c r="AY488" s="169"/>
      <c r="AZ488" s="169"/>
      <c r="BA488" s="169"/>
      <c r="BB488" s="169"/>
      <c r="BC488" s="169"/>
      <c r="BD488" s="169"/>
      <c r="BE488" s="169"/>
      <c r="BF488" s="169"/>
      <c r="BG488" s="169"/>
      <c r="BH488" s="169"/>
      <c r="BI488" s="169"/>
      <c r="BJ488" s="169"/>
      <c r="BK488" s="169"/>
      <c r="BL488" s="169"/>
      <c r="BM488" s="169"/>
      <c r="BN488" s="170"/>
      <c r="BO488" s="251"/>
      <c r="BP488" s="364"/>
      <c r="BQ488" s="364"/>
      <c r="BR488" s="364"/>
      <c r="BS488" s="250"/>
      <c r="BT488" s="364"/>
      <c r="BU488" s="364"/>
      <c r="BV488" s="364"/>
      <c r="BW488" s="364"/>
      <c r="BX488" s="364"/>
      <c r="BY488" s="250"/>
    </row>
    <row r="489" spans="3:78" ht="15" customHeight="1" thickBot="1">
      <c r="C489" s="307"/>
      <c r="D489" s="368"/>
      <c r="E489" s="371"/>
      <c r="F489" s="407"/>
      <c r="G489" s="377"/>
      <c r="H489" s="380"/>
      <c r="I489" s="383"/>
      <c r="J489" s="383"/>
      <c r="K489" s="386"/>
      <c r="L489" s="389"/>
      <c r="M489" s="392"/>
      <c r="N489" s="280" t="s">
        <v>380</v>
      </c>
      <c r="O489" s="212"/>
      <c r="P489" s="365" t="s">
        <v>154</v>
      </c>
      <c r="Q489" s="365"/>
      <c r="R489" s="171"/>
      <c r="S489" s="171"/>
      <c r="T489" s="166"/>
      <c r="U489" s="166"/>
      <c r="V489" s="166"/>
      <c r="W489" s="166"/>
      <c r="X489" s="166"/>
      <c r="Y489" s="166"/>
      <c r="Z489" s="166"/>
      <c r="AA489" s="166"/>
      <c r="AB489" s="166"/>
      <c r="AC489" s="166"/>
      <c r="AD489" s="166"/>
      <c r="AE489" s="166"/>
      <c r="AF489" s="166"/>
      <c r="AG489" s="166"/>
      <c r="AH489" s="166"/>
      <c r="AI489" s="166"/>
      <c r="AJ489" s="166"/>
      <c r="AK489" s="166"/>
      <c r="AL489" s="166"/>
      <c r="AM489" s="166"/>
      <c r="AN489" s="166"/>
      <c r="AO489" s="166"/>
      <c r="AP489" s="166"/>
      <c r="AQ489" s="166"/>
      <c r="AR489" s="166"/>
      <c r="AS489" s="166"/>
      <c r="AT489" s="166"/>
      <c r="AU489" s="166"/>
      <c r="AV489" s="166"/>
      <c r="AW489" s="166"/>
      <c r="AX489" s="166"/>
      <c r="AY489" s="166"/>
      <c r="AZ489" s="166"/>
      <c r="BA489" s="166"/>
      <c r="BB489" s="166"/>
      <c r="BC489" s="166"/>
      <c r="BD489" s="166"/>
      <c r="BE489" s="166"/>
      <c r="BF489" s="166"/>
      <c r="BG489" s="166"/>
      <c r="BH489" s="166"/>
      <c r="BI489" s="166"/>
      <c r="BJ489" s="166"/>
      <c r="BK489" s="166"/>
      <c r="BL489" s="166"/>
      <c r="BM489" s="166"/>
      <c r="BN489" s="167"/>
      <c r="BO489" s="251"/>
      <c r="BP489" s="250"/>
      <c r="BQ489" s="250"/>
      <c r="BR489" s="250"/>
      <c r="BS489" s="250"/>
      <c r="BT489" s="250"/>
      <c r="BU489" s="250"/>
      <c r="BY489" s="250"/>
    </row>
    <row r="490" spans="3:78" ht="11.25" customHeight="1">
      <c r="C490" s="97" t="s">
        <v>1240</v>
      </c>
      <c r="D490" s="366" t="s">
        <v>1364</v>
      </c>
      <c r="E490" s="369" t="s">
        <v>199</v>
      </c>
      <c r="F490" s="405" t="s">
        <v>209</v>
      </c>
      <c r="G490" s="375" t="s">
        <v>1490</v>
      </c>
      <c r="H490" s="378" t="s">
        <v>715</v>
      </c>
      <c r="I490" s="381" t="s">
        <v>715</v>
      </c>
      <c r="J490" s="381" t="s">
        <v>716</v>
      </c>
      <c r="K490" s="384">
        <v>1</v>
      </c>
      <c r="L490" s="387" t="s">
        <v>4</v>
      </c>
      <c r="M490" s="390">
        <v>0</v>
      </c>
      <c r="N490" s="163"/>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c r="AX490" s="161"/>
      <c r="AY490" s="161"/>
      <c r="AZ490" s="161"/>
      <c r="BA490" s="161"/>
      <c r="BB490" s="161"/>
      <c r="BC490" s="161"/>
      <c r="BD490" s="161"/>
      <c r="BE490" s="161"/>
      <c r="BF490" s="161"/>
      <c r="BG490" s="161"/>
      <c r="BH490" s="161"/>
      <c r="BI490" s="161"/>
      <c r="BJ490" s="161"/>
      <c r="BK490" s="161"/>
      <c r="BL490" s="161"/>
      <c r="BM490" s="161"/>
      <c r="BN490" s="162"/>
      <c r="BO490" s="251"/>
      <c r="BP490" s="250"/>
      <c r="BQ490" s="250"/>
      <c r="BR490" s="250"/>
      <c r="BS490" s="250"/>
      <c r="BT490" s="250"/>
      <c r="BU490" s="250"/>
      <c r="BY490" s="250"/>
    </row>
    <row r="491" spans="3:78" ht="11.25" customHeight="1">
      <c r="C491" s="306"/>
      <c r="D491" s="367"/>
      <c r="E491" s="370"/>
      <c r="F491" s="406"/>
      <c r="G491" s="376"/>
      <c r="H491" s="379"/>
      <c r="I491" s="382"/>
      <c r="J491" s="382"/>
      <c r="K491" s="385"/>
      <c r="L491" s="388"/>
      <c r="M491" s="391"/>
      <c r="N491" s="393"/>
      <c r="O491" s="396">
        <v>1</v>
      </c>
      <c r="P491" s="399" t="s">
        <v>1297</v>
      </c>
      <c r="Q491" s="402"/>
      <c r="R491" s="361" t="s">
        <v>154</v>
      </c>
      <c r="S491" s="361" t="s">
        <v>154</v>
      </c>
      <c r="T491" s="361" t="s">
        <v>154</v>
      </c>
      <c r="U491" s="361" t="s">
        <v>154</v>
      </c>
      <c r="V491" s="361" t="s">
        <v>154</v>
      </c>
      <c r="W491" s="361" t="s">
        <v>154</v>
      </c>
      <c r="X491" s="361" t="s">
        <v>154</v>
      </c>
      <c r="Y491" s="361" t="s">
        <v>154</v>
      </c>
      <c r="Z491" s="361" t="s">
        <v>154</v>
      </c>
      <c r="AA491" s="361" t="s">
        <v>154</v>
      </c>
      <c r="AB491" s="361" t="s">
        <v>154</v>
      </c>
      <c r="AC491" s="361" t="s">
        <v>154</v>
      </c>
      <c r="AD491" s="361" t="s">
        <v>154</v>
      </c>
      <c r="AE491" s="209"/>
      <c r="AF491" s="220">
        <v>0</v>
      </c>
      <c r="AG491" s="219" t="s">
        <v>308</v>
      </c>
      <c r="AH491" s="219"/>
      <c r="AI491" s="219"/>
      <c r="AJ491" s="219"/>
      <c r="AK491" s="219"/>
      <c r="AL491" s="219"/>
      <c r="AM491" s="219"/>
      <c r="AN491" s="219"/>
      <c r="AO491" s="219"/>
      <c r="AP491" s="164"/>
      <c r="AQ491" s="164"/>
      <c r="AR491" s="164"/>
      <c r="AS491" s="164"/>
      <c r="AT491" s="164"/>
      <c r="AU491" s="164"/>
      <c r="AV491" s="164"/>
      <c r="AW491" s="164"/>
      <c r="AX491" s="164"/>
      <c r="AY491" s="164"/>
      <c r="AZ491" s="164"/>
      <c r="BA491" s="164"/>
      <c r="BB491" s="164"/>
      <c r="BC491" s="164"/>
      <c r="BD491" s="164"/>
      <c r="BE491" s="164"/>
      <c r="BF491" s="164"/>
      <c r="BG491" s="164"/>
      <c r="BH491" s="164"/>
      <c r="BI491" s="164"/>
      <c r="BJ491" s="164"/>
      <c r="BK491" s="164"/>
      <c r="BL491" s="164"/>
      <c r="BM491" s="164"/>
      <c r="BN491" s="165"/>
      <c r="BO491" s="251"/>
      <c r="BP491" s="364" t="s">
        <v>1298</v>
      </c>
      <c r="BQ491" s="364" t="s">
        <v>1298</v>
      </c>
      <c r="BR491" s="364" t="s">
        <v>1298</v>
      </c>
      <c r="BS491" s="250"/>
      <c r="BT491" s="364" t="s">
        <v>1298</v>
      </c>
      <c r="BU491" s="364" t="s">
        <v>1298</v>
      </c>
      <c r="BV491" s="364" t="s">
        <v>1298</v>
      </c>
      <c r="BW491" s="364" t="s">
        <v>1298</v>
      </c>
      <c r="BX491" s="364" t="s">
        <v>1298</v>
      </c>
      <c r="BY491" s="250"/>
    </row>
    <row r="492" spans="3:78" ht="14.25">
      <c r="C492" s="306"/>
      <c r="D492" s="367"/>
      <c r="E492" s="370"/>
      <c r="F492" s="406"/>
      <c r="G492" s="376"/>
      <c r="H492" s="379"/>
      <c r="I492" s="382"/>
      <c r="J492" s="382"/>
      <c r="K492" s="385"/>
      <c r="L492" s="388"/>
      <c r="M492" s="391"/>
      <c r="N492" s="394"/>
      <c r="O492" s="397"/>
      <c r="P492" s="400"/>
      <c r="Q492" s="403"/>
      <c r="R492" s="362"/>
      <c r="S492" s="362"/>
      <c r="T492" s="362"/>
      <c r="U492" s="362"/>
      <c r="V492" s="362"/>
      <c r="W492" s="362"/>
      <c r="X492" s="362"/>
      <c r="Y492" s="362"/>
      <c r="Z492" s="362"/>
      <c r="AA492" s="362"/>
      <c r="AB492" s="362"/>
      <c r="AC492" s="362"/>
      <c r="AD492" s="362"/>
      <c r="AE492" s="193"/>
      <c r="AF492" s="217" t="s">
        <v>268</v>
      </c>
      <c r="AG492" s="158" t="s">
        <v>221</v>
      </c>
      <c r="AH492" s="300" t="s">
        <v>19</v>
      </c>
      <c r="AI492" s="301" t="s">
        <v>154</v>
      </c>
      <c r="AJ492" s="221"/>
      <c r="AK492" s="221"/>
      <c r="AL492" s="221"/>
      <c r="AM492" s="221"/>
      <c r="AN492" s="221"/>
      <c r="AO492" s="221"/>
      <c r="AP492" s="302" t="s">
        <v>19</v>
      </c>
      <c r="AQ492" s="195">
        <f>SUM(AT492,AW492,AZ492,BC492,BF492,BI492,BL492)</f>
        <v>1892.8717613962999</v>
      </c>
      <c r="AR492" s="197">
        <f>SUM(AT492,AX492,BA492,BD492,BG492,BJ492,BM492)</f>
        <v>0</v>
      </c>
      <c r="AS492" s="195">
        <f>AQ492-AR492</f>
        <v>1892.8717613962999</v>
      </c>
      <c r="AT492" s="312"/>
      <c r="AU492" s="312"/>
      <c r="AV492" s="244"/>
      <c r="AW492" s="159"/>
      <c r="AX492" s="312"/>
      <c r="AY492" s="194">
        <f>AW492-AX492</f>
        <v>0</v>
      </c>
      <c r="AZ492" s="160">
        <v>1892.8717613962999</v>
      </c>
      <c r="BA492" s="312"/>
      <c r="BB492" s="194">
        <f>AZ492-BA492</f>
        <v>1892.8717613962999</v>
      </c>
      <c r="BC492" s="159"/>
      <c r="BD492" s="312"/>
      <c r="BE492" s="194">
        <f>BC492-BD492</f>
        <v>0</v>
      </c>
      <c r="BF492" s="159"/>
      <c r="BG492" s="244"/>
      <c r="BH492" s="194">
        <f>BF492-BG492</f>
        <v>0</v>
      </c>
      <c r="BI492" s="159"/>
      <c r="BJ492" s="244"/>
      <c r="BK492" s="194">
        <f>BI492-BJ492</f>
        <v>0</v>
      </c>
      <c r="BL492" s="312"/>
      <c r="BM492" s="312"/>
      <c r="BN492" s="195">
        <f>BL492-BM492</f>
        <v>0</v>
      </c>
      <c r="BO492" s="251">
        <v>0</v>
      </c>
      <c r="BP492" s="364"/>
      <c r="BQ492" s="364"/>
      <c r="BR492" s="364"/>
      <c r="BS492" s="249" t="str">
        <f>AG492 &amp; BO492</f>
        <v>Амортизационные отчисления0</v>
      </c>
      <c r="BT492" s="364"/>
      <c r="BU492" s="364"/>
      <c r="BV492" s="364"/>
      <c r="BW492" s="364"/>
      <c r="BX492" s="364"/>
      <c r="BY492" s="249" t="str">
        <f>AG492&amp;AH492</f>
        <v>Амортизационные отчислениянет</v>
      </c>
      <c r="BZ492" s="250"/>
    </row>
    <row r="493" spans="3:78" ht="14.25">
      <c r="C493" s="97"/>
      <c r="D493" s="367"/>
      <c r="E493" s="370"/>
      <c r="F493" s="406"/>
      <c r="G493" s="376"/>
      <c r="H493" s="379"/>
      <c r="I493" s="382"/>
      <c r="J493" s="382"/>
      <c r="K493" s="385"/>
      <c r="L493" s="388"/>
      <c r="M493" s="391"/>
      <c r="N493" s="394"/>
      <c r="O493" s="397"/>
      <c r="P493" s="400"/>
      <c r="Q493" s="403"/>
      <c r="R493" s="362"/>
      <c r="S493" s="362"/>
      <c r="T493" s="362"/>
      <c r="U493" s="362"/>
      <c r="V493" s="362"/>
      <c r="W493" s="362"/>
      <c r="X493" s="362"/>
      <c r="Y493" s="362"/>
      <c r="Z493" s="362"/>
      <c r="AA493" s="362"/>
      <c r="AB493" s="362"/>
      <c r="AC493" s="362"/>
      <c r="AD493" s="362"/>
      <c r="AE493" s="322" t="s">
        <v>1240</v>
      </c>
      <c r="AF493" s="217" t="s">
        <v>118</v>
      </c>
      <c r="AG493" s="196" t="s">
        <v>223</v>
      </c>
      <c r="AH493" s="302" t="s">
        <v>19</v>
      </c>
      <c r="AI493" s="301" t="s">
        <v>154</v>
      </c>
      <c r="AJ493" s="221"/>
      <c r="AK493" s="221"/>
      <c r="AL493" s="221"/>
      <c r="AM493" s="221"/>
      <c r="AN493" s="221"/>
      <c r="AO493" s="221"/>
      <c r="AP493" s="302" t="s">
        <v>19</v>
      </c>
      <c r="AQ493" s="195">
        <f>SUM(AT493,AW493,AZ493,BC493,BF493,BI493,BL493)</f>
        <v>378.57435227925998</v>
      </c>
      <c r="AR493" s="197">
        <f>SUM(AT493,AX493,BA493,BD493,BG493,BJ493,BM493)</f>
        <v>0</v>
      </c>
      <c r="AS493" s="195">
        <f>AQ493-AR493</f>
        <v>378.57435227925998</v>
      </c>
      <c r="AT493" s="315"/>
      <c r="AU493" s="315"/>
      <c r="AV493" s="241"/>
      <c r="AW493" s="198"/>
      <c r="AX493" s="313"/>
      <c r="AY493" s="199">
        <f>AW493-AX493</f>
        <v>0</v>
      </c>
      <c r="AZ493" s="173">
        <f>2271.44611367556-AZ492</f>
        <v>378.57435227925998</v>
      </c>
      <c r="BA493" s="313"/>
      <c r="BB493" s="199">
        <f>AZ493-BA493</f>
        <v>378.57435227925998</v>
      </c>
      <c r="BC493" s="198"/>
      <c r="BD493" s="313"/>
      <c r="BE493" s="199">
        <f>BC493-BD493</f>
        <v>0</v>
      </c>
      <c r="BF493" s="198"/>
      <c r="BG493" s="241"/>
      <c r="BH493" s="199">
        <f>BF493-BG493</f>
        <v>0</v>
      </c>
      <c r="BI493" s="198"/>
      <c r="BJ493" s="241"/>
      <c r="BK493" s="199">
        <f>BI493-BJ493</f>
        <v>0</v>
      </c>
      <c r="BL493" s="313"/>
      <c r="BM493" s="313"/>
      <c r="BN493" s="195">
        <f>BL493-BM493</f>
        <v>0</v>
      </c>
      <c r="BO493" s="251">
        <v>0</v>
      </c>
      <c r="BP493" s="364"/>
      <c r="BQ493" s="364"/>
      <c r="BR493" s="364"/>
      <c r="BS493" s="249" t="str">
        <f>AG493 &amp; BO493</f>
        <v>Прочие собственные средства0</v>
      </c>
      <c r="BT493" s="364"/>
      <c r="BU493" s="364"/>
      <c r="BV493" s="364"/>
      <c r="BW493" s="364"/>
      <c r="BX493" s="364"/>
      <c r="BY493" s="249" t="str">
        <f>AG493&amp;AH493</f>
        <v>Прочие собственные средстванет</v>
      </c>
      <c r="BZ493" s="250"/>
    </row>
    <row r="494" spans="3:78" ht="15" customHeight="1">
      <c r="C494" s="306"/>
      <c r="D494" s="367"/>
      <c r="E494" s="370"/>
      <c r="F494" s="406"/>
      <c r="G494" s="376"/>
      <c r="H494" s="379"/>
      <c r="I494" s="382"/>
      <c r="J494" s="382"/>
      <c r="K494" s="385"/>
      <c r="L494" s="388"/>
      <c r="M494" s="391"/>
      <c r="N494" s="395"/>
      <c r="O494" s="398"/>
      <c r="P494" s="401"/>
      <c r="Q494" s="404"/>
      <c r="R494" s="363"/>
      <c r="S494" s="363"/>
      <c r="T494" s="363"/>
      <c r="U494" s="363"/>
      <c r="V494" s="363"/>
      <c r="W494" s="363"/>
      <c r="X494" s="363"/>
      <c r="Y494" s="363"/>
      <c r="Z494" s="363"/>
      <c r="AA494" s="363"/>
      <c r="AB494" s="363"/>
      <c r="AC494" s="363"/>
      <c r="AD494" s="363"/>
      <c r="AE494" s="279" t="s">
        <v>379</v>
      </c>
      <c r="AF494" s="203"/>
      <c r="AG494" s="223" t="s">
        <v>24</v>
      </c>
      <c r="AH494" s="223"/>
      <c r="AI494" s="223"/>
      <c r="AJ494" s="223"/>
      <c r="AK494" s="223"/>
      <c r="AL494" s="223"/>
      <c r="AM494" s="223"/>
      <c r="AN494" s="223"/>
      <c r="AO494" s="223"/>
      <c r="AP494" s="168"/>
      <c r="AQ494" s="169"/>
      <c r="AR494" s="169"/>
      <c r="AS494" s="169"/>
      <c r="AT494" s="169"/>
      <c r="AU494" s="169"/>
      <c r="AV494" s="169"/>
      <c r="AW494" s="169"/>
      <c r="AX494" s="169"/>
      <c r="AY494" s="169"/>
      <c r="AZ494" s="169"/>
      <c r="BA494" s="169"/>
      <c r="BB494" s="169"/>
      <c r="BC494" s="169"/>
      <c r="BD494" s="169"/>
      <c r="BE494" s="169"/>
      <c r="BF494" s="169"/>
      <c r="BG494" s="169"/>
      <c r="BH494" s="169"/>
      <c r="BI494" s="169"/>
      <c r="BJ494" s="169"/>
      <c r="BK494" s="169"/>
      <c r="BL494" s="169"/>
      <c r="BM494" s="169"/>
      <c r="BN494" s="170"/>
      <c r="BO494" s="251"/>
      <c r="BP494" s="364"/>
      <c r="BQ494" s="364"/>
      <c r="BR494" s="364"/>
      <c r="BS494" s="250"/>
      <c r="BT494" s="364"/>
      <c r="BU494" s="364"/>
      <c r="BV494" s="364"/>
      <c r="BW494" s="364"/>
      <c r="BX494" s="364"/>
      <c r="BY494" s="250"/>
    </row>
    <row r="495" spans="3:78" ht="15" customHeight="1" thickBot="1">
      <c r="C495" s="307"/>
      <c r="D495" s="368"/>
      <c r="E495" s="371"/>
      <c r="F495" s="407"/>
      <c r="G495" s="377"/>
      <c r="H495" s="380"/>
      <c r="I495" s="383"/>
      <c r="J495" s="383"/>
      <c r="K495" s="386"/>
      <c r="L495" s="389"/>
      <c r="M495" s="392"/>
      <c r="N495" s="280" t="s">
        <v>380</v>
      </c>
      <c r="O495" s="212"/>
      <c r="P495" s="365" t="s">
        <v>154</v>
      </c>
      <c r="Q495" s="365"/>
      <c r="R495" s="171"/>
      <c r="S495" s="171"/>
      <c r="T495" s="166"/>
      <c r="U495" s="166"/>
      <c r="V495" s="166"/>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6"/>
      <c r="AR495" s="166"/>
      <c r="AS495" s="166"/>
      <c r="AT495" s="166"/>
      <c r="AU495" s="166"/>
      <c r="AV495" s="166"/>
      <c r="AW495" s="166"/>
      <c r="AX495" s="166"/>
      <c r="AY495" s="166"/>
      <c r="AZ495" s="166"/>
      <c r="BA495" s="166"/>
      <c r="BB495" s="166"/>
      <c r="BC495" s="166"/>
      <c r="BD495" s="166"/>
      <c r="BE495" s="166"/>
      <c r="BF495" s="166"/>
      <c r="BG495" s="166"/>
      <c r="BH495" s="166"/>
      <c r="BI495" s="166"/>
      <c r="BJ495" s="166"/>
      <c r="BK495" s="166"/>
      <c r="BL495" s="166"/>
      <c r="BM495" s="166"/>
      <c r="BN495" s="167"/>
      <c r="BO495" s="251"/>
      <c r="BP495" s="250"/>
      <c r="BQ495" s="250"/>
      <c r="BR495" s="250"/>
      <c r="BS495" s="250"/>
      <c r="BT495" s="250"/>
      <c r="BU495" s="250"/>
      <c r="BY495" s="250"/>
    </row>
    <row r="496" spans="3:78" ht="11.25" customHeight="1">
      <c r="C496" s="97" t="s">
        <v>1240</v>
      </c>
      <c r="D496" s="366" t="s">
        <v>1365</v>
      </c>
      <c r="E496" s="369" t="s">
        <v>199</v>
      </c>
      <c r="F496" s="405" t="s">
        <v>209</v>
      </c>
      <c r="G496" s="375" t="s">
        <v>1491</v>
      </c>
      <c r="H496" s="378" t="s">
        <v>715</v>
      </c>
      <c r="I496" s="381" t="s">
        <v>715</v>
      </c>
      <c r="J496" s="381" t="s">
        <v>716</v>
      </c>
      <c r="K496" s="384">
        <v>1</v>
      </c>
      <c r="L496" s="387" t="s">
        <v>4</v>
      </c>
      <c r="M496" s="390">
        <v>0</v>
      </c>
      <c r="N496" s="163"/>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c r="AX496" s="161"/>
      <c r="AY496" s="161"/>
      <c r="AZ496" s="161"/>
      <c r="BA496" s="161"/>
      <c r="BB496" s="161"/>
      <c r="BC496" s="161"/>
      <c r="BD496" s="161"/>
      <c r="BE496" s="161"/>
      <c r="BF496" s="161"/>
      <c r="BG496" s="161"/>
      <c r="BH496" s="161"/>
      <c r="BI496" s="161"/>
      <c r="BJ496" s="161"/>
      <c r="BK496" s="161"/>
      <c r="BL496" s="161"/>
      <c r="BM496" s="161"/>
      <c r="BN496" s="162"/>
      <c r="BO496" s="251"/>
      <c r="BP496" s="250"/>
      <c r="BQ496" s="250"/>
      <c r="BR496" s="250"/>
      <c r="BS496" s="250"/>
      <c r="BT496" s="250"/>
      <c r="BU496" s="250"/>
      <c r="BY496" s="250"/>
    </row>
    <row r="497" spans="3:78" ht="11.25" customHeight="1">
      <c r="C497" s="306"/>
      <c r="D497" s="367"/>
      <c r="E497" s="370"/>
      <c r="F497" s="406"/>
      <c r="G497" s="376"/>
      <c r="H497" s="379"/>
      <c r="I497" s="382"/>
      <c r="J497" s="382"/>
      <c r="K497" s="385"/>
      <c r="L497" s="388"/>
      <c r="M497" s="391"/>
      <c r="N497" s="393"/>
      <c r="O497" s="396">
        <v>1</v>
      </c>
      <c r="P497" s="399" t="s">
        <v>1297</v>
      </c>
      <c r="Q497" s="402"/>
      <c r="R497" s="361" t="s">
        <v>154</v>
      </c>
      <c r="S497" s="361" t="s">
        <v>154</v>
      </c>
      <c r="T497" s="361" t="s">
        <v>154</v>
      </c>
      <c r="U497" s="361" t="s">
        <v>154</v>
      </c>
      <c r="V497" s="361" t="s">
        <v>154</v>
      </c>
      <c r="W497" s="361" t="s">
        <v>154</v>
      </c>
      <c r="X497" s="361" t="s">
        <v>154</v>
      </c>
      <c r="Y497" s="361" t="s">
        <v>154</v>
      </c>
      <c r="Z497" s="361" t="s">
        <v>154</v>
      </c>
      <c r="AA497" s="361" t="s">
        <v>154</v>
      </c>
      <c r="AB497" s="361" t="s">
        <v>154</v>
      </c>
      <c r="AC497" s="361" t="s">
        <v>154</v>
      </c>
      <c r="AD497" s="361" t="s">
        <v>154</v>
      </c>
      <c r="AE497" s="209"/>
      <c r="AF497" s="220">
        <v>0</v>
      </c>
      <c r="AG497" s="219" t="s">
        <v>308</v>
      </c>
      <c r="AH497" s="219"/>
      <c r="AI497" s="219"/>
      <c r="AJ497" s="219"/>
      <c r="AK497" s="219"/>
      <c r="AL497" s="219"/>
      <c r="AM497" s="219"/>
      <c r="AN497" s="219"/>
      <c r="AO497" s="219"/>
      <c r="AP497" s="164"/>
      <c r="AQ497" s="164"/>
      <c r="AR497" s="164"/>
      <c r="AS497" s="164"/>
      <c r="AT497" s="164"/>
      <c r="AU497" s="164"/>
      <c r="AV497" s="164"/>
      <c r="AW497" s="164"/>
      <c r="AX497" s="164"/>
      <c r="AY497" s="164"/>
      <c r="AZ497" s="164"/>
      <c r="BA497" s="164"/>
      <c r="BB497" s="164"/>
      <c r="BC497" s="164"/>
      <c r="BD497" s="164"/>
      <c r="BE497" s="164"/>
      <c r="BF497" s="164"/>
      <c r="BG497" s="164"/>
      <c r="BH497" s="164"/>
      <c r="BI497" s="164"/>
      <c r="BJ497" s="164"/>
      <c r="BK497" s="164"/>
      <c r="BL497" s="164"/>
      <c r="BM497" s="164"/>
      <c r="BN497" s="165"/>
      <c r="BO497" s="251"/>
      <c r="BP497" s="364" t="s">
        <v>1298</v>
      </c>
      <c r="BQ497" s="364" t="s">
        <v>1298</v>
      </c>
      <c r="BR497" s="364" t="s">
        <v>1298</v>
      </c>
      <c r="BS497" s="250"/>
      <c r="BT497" s="364" t="s">
        <v>1298</v>
      </c>
      <c r="BU497" s="364" t="s">
        <v>1298</v>
      </c>
      <c r="BV497" s="364" t="s">
        <v>1298</v>
      </c>
      <c r="BW497" s="364" t="s">
        <v>1298</v>
      </c>
      <c r="BX497" s="364" t="s">
        <v>1298</v>
      </c>
      <c r="BY497" s="250"/>
    </row>
    <row r="498" spans="3:78" ht="14.25">
      <c r="C498" s="306"/>
      <c r="D498" s="367"/>
      <c r="E498" s="370"/>
      <c r="F498" s="406"/>
      <c r="G498" s="376"/>
      <c r="H498" s="379"/>
      <c r="I498" s="382"/>
      <c r="J498" s="382"/>
      <c r="K498" s="385"/>
      <c r="L498" s="388"/>
      <c r="M498" s="391"/>
      <c r="N498" s="394"/>
      <c r="O498" s="397"/>
      <c r="P498" s="400"/>
      <c r="Q498" s="403"/>
      <c r="R498" s="362"/>
      <c r="S498" s="362"/>
      <c r="T498" s="362"/>
      <c r="U498" s="362"/>
      <c r="V498" s="362"/>
      <c r="W498" s="362"/>
      <c r="X498" s="362"/>
      <c r="Y498" s="362"/>
      <c r="Z498" s="362"/>
      <c r="AA498" s="362"/>
      <c r="AB498" s="362"/>
      <c r="AC498" s="362"/>
      <c r="AD498" s="362"/>
      <c r="AE498" s="193"/>
      <c r="AF498" s="217" t="s">
        <v>268</v>
      </c>
      <c r="AG498" s="158" t="s">
        <v>221</v>
      </c>
      <c r="AH498" s="300" t="s">
        <v>19</v>
      </c>
      <c r="AI498" s="301" t="s">
        <v>154</v>
      </c>
      <c r="AJ498" s="221"/>
      <c r="AK498" s="221"/>
      <c r="AL498" s="221"/>
      <c r="AM498" s="221"/>
      <c r="AN498" s="221"/>
      <c r="AO498" s="221"/>
      <c r="AP498" s="302" t="s">
        <v>19</v>
      </c>
      <c r="AQ498" s="195">
        <f>SUM(AT498,AW498,AZ498,BC498,BF498,BI498,BL498)</f>
        <v>1915.0971471662085</v>
      </c>
      <c r="AR498" s="197">
        <f>SUM(AT498,AX498,BA498,BD498,BG498,BJ498,BM498)</f>
        <v>0</v>
      </c>
      <c r="AS498" s="195">
        <f>AQ498-AR498</f>
        <v>1915.0971471662085</v>
      </c>
      <c r="AT498" s="312"/>
      <c r="AU498" s="312"/>
      <c r="AV498" s="244"/>
      <c r="AW498" s="159"/>
      <c r="AX498" s="312"/>
      <c r="AY498" s="194">
        <f>AW498-AX498</f>
        <v>0</v>
      </c>
      <c r="AZ498" s="160">
        <v>1915.0971471662085</v>
      </c>
      <c r="BA498" s="312"/>
      <c r="BB498" s="194">
        <f>AZ498-BA498</f>
        <v>1915.0971471662085</v>
      </c>
      <c r="BC498" s="159"/>
      <c r="BD498" s="312"/>
      <c r="BE498" s="194">
        <f>BC498-BD498</f>
        <v>0</v>
      </c>
      <c r="BF498" s="159"/>
      <c r="BG498" s="244"/>
      <c r="BH498" s="194">
        <f>BF498-BG498</f>
        <v>0</v>
      </c>
      <c r="BI498" s="159"/>
      <c r="BJ498" s="244"/>
      <c r="BK498" s="194">
        <f>BI498-BJ498</f>
        <v>0</v>
      </c>
      <c r="BL498" s="312"/>
      <c r="BM498" s="312"/>
      <c r="BN498" s="195">
        <f>BL498-BM498</f>
        <v>0</v>
      </c>
      <c r="BO498" s="251">
        <v>0</v>
      </c>
      <c r="BP498" s="364"/>
      <c r="BQ498" s="364"/>
      <c r="BR498" s="364"/>
      <c r="BS498" s="249" t="str">
        <f>AG498 &amp; BO498</f>
        <v>Амортизационные отчисления0</v>
      </c>
      <c r="BT498" s="364"/>
      <c r="BU498" s="364"/>
      <c r="BV498" s="364"/>
      <c r="BW498" s="364"/>
      <c r="BX498" s="364"/>
      <c r="BY498" s="249" t="str">
        <f>AG498&amp;AH498</f>
        <v>Амортизационные отчислениянет</v>
      </c>
      <c r="BZ498" s="250"/>
    </row>
    <row r="499" spans="3:78" ht="14.25">
      <c r="C499" s="97"/>
      <c r="D499" s="367"/>
      <c r="E499" s="370"/>
      <c r="F499" s="406"/>
      <c r="G499" s="376"/>
      <c r="H499" s="379"/>
      <c r="I499" s="382"/>
      <c r="J499" s="382"/>
      <c r="K499" s="385"/>
      <c r="L499" s="388"/>
      <c r="M499" s="391"/>
      <c r="N499" s="394"/>
      <c r="O499" s="397"/>
      <c r="P499" s="400"/>
      <c r="Q499" s="403"/>
      <c r="R499" s="362"/>
      <c r="S499" s="362"/>
      <c r="T499" s="362"/>
      <c r="U499" s="362"/>
      <c r="V499" s="362"/>
      <c r="W499" s="362"/>
      <c r="X499" s="362"/>
      <c r="Y499" s="362"/>
      <c r="Z499" s="362"/>
      <c r="AA499" s="362"/>
      <c r="AB499" s="362"/>
      <c r="AC499" s="362"/>
      <c r="AD499" s="362"/>
      <c r="AE499" s="322" t="s">
        <v>1240</v>
      </c>
      <c r="AF499" s="217" t="s">
        <v>118</v>
      </c>
      <c r="AG499" s="196" t="s">
        <v>223</v>
      </c>
      <c r="AH499" s="302" t="s">
        <v>19</v>
      </c>
      <c r="AI499" s="301" t="s">
        <v>154</v>
      </c>
      <c r="AJ499" s="221"/>
      <c r="AK499" s="221"/>
      <c r="AL499" s="221"/>
      <c r="AM499" s="221"/>
      <c r="AN499" s="221"/>
      <c r="AO499" s="221"/>
      <c r="AP499" s="302" t="s">
        <v>19</v>
      </c>
      <c r="AQ499" s="195">
        <f>SUM(AT499,AW499,AZ499,BC499,BF499,BI499,BL499)</f>
        <v>383.01942943324161</v>
      </c>
      <c r="AR499" s="197">
        <f>SUM(AT499,AX499,BA499,BD499,BG499,BJ499,BM499)</f>
        <v>0</v>
      </c>
      <c r="AS499" s="195">
        <f>AQ499-AR499</f>
        <v>383.01942943324161</v>
      </c>
      <c r="AT499" s="315"/>
      <c r="AU499" s="315"/>
      <c r="AV499" s="241"/>
      <c r="AW499" s="198"/>
      <c r="AX499" s="313"/>
      <c r="AY499" s="199">
        <f>AW499-AX499</f>
        <v>0</v>
      </c>
      <c r="AZ499" s="173">
        <f>2298.11657659945-AZ498</f>
        <v>383.01942943324161</v>
      </c>
      <c r="BA499" s="313"/>
      <c r="BB499" s="199">
        <f>AZ499-BA499</f>
        <v>383.01942943324161</v>
      </c>
      <c r="BC499" s="198"/>
      <c r="BD499" s="313"/>
      <c r="BE499" s="199">
        <f>BC499-BD499</f>
        <v>0</v>
      </c>
      <c r="BF499" s="198"/>
      <c r="BG499" s="241"/>
      <c r="BH499" s="199">
        <f>BF499-BG499</f>
        <v>0</v>
      </c>
      <c r="BI499" s="198"/>
      <c r="BJ499" s="241"/>
      <c r="BK499" s="199">
        <f>BI499-BJ499</f>
        <v>0</v>
      </c>
      <c r="BL499" s="313"/>
      <c r="BM499" s="313"/>
      <c r="BN499" s="195">
        <f>BL499-BM499</f>
        <v>0</v>
      </c>
      <c r="BO499" s="251">
        <v>0</v>
      </c>
      <c r="BP499" s="364"/>
      <c r="BQ499" s="364"/>
      <c r="BR499" s="364"/>
      <c r="BS499" s="249" t="str">
        <f>AG499 &amp; BO499</f>
        <v>Прочие собственные средства0</v>
      </c>
      <c r="BT499" s="364"/>
      <c r="BU499" s="364"/>
      <c r="BV499" s="364"/>
      <c r="BW499" s="364"/>
      <c r="BX499" s="364"/>
      <c r="BY499" s="249" t="str">
        <f>AG499&amp;AH499</f>
        <v>Прочие собственные средстванет</v>
      </c>
      <c r="BZ499" s="250"/>
    </row>
    <row r="500" spans="3:78" ht="15" customHeight="1">
      <c r="C500" s="306"/>
      <c r="D500" s="367"/>
      <c r="E500" s="370"/>
      <c r="F500" s="406"/>
      <c r="G500" s="376"/>
      <c r="H500" s="379"/>
      <c r="I500" s="382"/>
      <c r="J500" s="382"/>
      <c r="K500" s="385"/>
      <c r="L500" s="388"/>
      <c r="M500" s="391"/>
      <c r="N500" s="395"/>
      <c r="O500" s="398"/>
      <c r="P500" s="401"/>
      <c r="Q500" s="404"/>
      <c r="R500" s="363"/>
      <c r="S500" s="363"/>
      <c r="T500" s="363"/>
      <c r="U500" s="363"/>
      <c r="V500" s="363"/>
      <c r="W500" s="363"/>
      <c r="X500" s="363"/>
      <c r="Y500" s="363"/>
      <c r="Z500" s="363"/>
      <c r="AA500" s="363"/>
      <c r="AB500" s="363"/>
      <c r="AC500" s="363"/>
      <c r="AD500" s="363"/>
      <c r="AE500" s="279" t="s">
        <v>379</v>
      </c>
      <c r="AF500" s="203"/>
      <c r="AG500" s="223" t="s">
        <v>24</v>
      </c>
      <c r="AH500" s="223"/>
      <c r="AI500" s="223"/>
      <c r="AJ500" s="223"/>
      <c r="AK500" s="223"/>
      <c r="AL500" s="223"/>
      <c r="AM500" s="223"/>
      <c r="AN500" s="223"/>
      <c r="AO500" s="223"/>
      <c r="AP500" s="168"/>
      <c r="AQ500" s="169"/>
      <c r="AR500" s="169"/>
      <c r="AS500" s="169"/>
      <c r="AT500" s="169"/>
      <c r="AU500" s="169"/>
      <c r="AV500" s="169"/>
      <c r="AW500" s="169"/>
      <c r="AX500" s="169"/>
      <c r="AY500" s="169"/>
      <c r="AZ500" s="169"/>
      <c r="BA500" s="169"/>
      <c r="BB500" s="169"/>
      <c r="BC500" s="169"/>
      <c r="BD500" s="169"/>
      <c r="BE500" s="169"/>
      <c r="BF500" s="169"/>
      <c r="BG500" s="169"/>
      <c r="BH500" s="169"/>
      <c r="BI500" s="169"/>
      <c r="BJ500" s="169"/>
      <c r="BK500" s="169"/>
      <c r="BL500" s="169"/>
      <c r="BM500" s="169"/>
      <c r="BN500" s="170"/>
      <c r="BO500" s="251"/>
      <c r="BP500" s="364"/>
      <c r="BQ500" s="364"/>
      <c r="BR500" s="364"/>
      <c r="BS500" s="250"/>
      <c r="BT500" s="364"/>
      <c r="BU500" s="364"/>
      <c r="BV500" s="364"/>
      <c r="BW500" s="364"/>
      <c r="BX500" s="364"/>
      <c r="BY500" s="250"/>
    </row>
    <row r="501" spans="3:78" ht="15" customHeight="1" thickBot="1">
      <c r="C501" s="307"/>
      <c r="D501" s="368"/>
      <c r="E501" s="371"/>
      <c r="F501" s="407"/>
      <c r="G501" s="377"/>
      <c r="H501" s="380"/>
      <c r="I501" s="383"/>
      <c r="J501" s="383"/>
      <c r="K501" s="386"/>
      <c r="L501" s="389"/>
      <c r="M501" s="392"/>
      <c r="N501" s="280" t="s">
        <v>380</v>
      </c>
      <c r="O501" s="212"/>
      <c r="P501" s="365" t="s">
        <v>154</v>
      </c>
      <c r="Q501" s="365"/>
      <c r="R501" s="171"/>
      <c r="S501" s="171"/>
      <c r="T501" s="166"/>
      <c r="U501" s="166"/>
      <c r="V501" s="166"/>
      <c r="W501" s="166"/>
      <c r="X501" s="166"/>
      <c r="Y501" s="166"/>
      <c r="Z501" s="166"/>
      <c r="AA501" s="166"/>
      <c r="AB501" s="166"/>
      <c r="AC501" s="166"/>
      <c r="AD501" s="166"/>
      <c r="AE501" s="166"/>
      <c r="AF501" s="166"/>
      <c r="AG501" s="166"/>
      <c r="AH501" s="166"/>
      <c r="AI501" s="166"/>
      <c r="AJ501" s="166"/>
      <c r="AK501" s="166"/>
      <c r="AL501" s="166"/>
      <c r="AM501" s="166"/>
      <c r="AN501" s="166"/>
      <c r="AO501" s="166"/>
      <c r="AP501" s="166"/>
      <c r="AQ501" s="166"/>
      <c r="AR501" s="166"/>
      <c r="AS501" s="166"/>
      <c r="AT501" s="166"/>
      <c r="AU501" s="166"/>
      <c r="AV501" s="166"/>
      <c r="AW501" s="166"/>
      <c r="AX501" s="166"/>
      <c r="AY501" s="166"/>
      <c r="AZ501" s="166"/>
      <c r="BA501" s="166"/>
      <c r="BB501" s="166"/>
      <c r="BC501" s="166"/>
      <c r="BD501" s="166"/>
      <c r="BE501" s="166"/>
      <c r="BF501" s="166"/>
      <c r="BG501" s="166"/>
      <c r="BH501" s="166"/>
      <c r="BI501" s="166"/>
      <c r="BJ501" s="166"/>
      <c r="BK501" s="166"/>
      <c r="BL501" s="166"/>
      <c r="BM501" s="166"/>
      <c r="BN501" s="167"/>
      <c r="BO501" s="251"/>
      <c r="BP501" s="250"/>
      <c r="BQ501" s="250"/>
      <c r="BR501" s="250"/>
      <c r="BS501" s="250"/>
      <c r="BT501" s="250"/>
      <c r="BU501" s="250"/>
      <c r="BY501" s="250"/>
    </row>
    <row r="502" spans="3:78" ht="11.25" customHeight="1">
      <c r="C502" s="97" t="s">
        <v>1240</v>
      </c>
      <c r="D502" s="366" t="s">
        <v>1366</v>
      </c>
      <c r="E502" s="369" t="s">
        <v>199</v>
      </c>
      <c r="F502" s="405" t="s">
        <v>209</v>
      </c>
      <c r="G502" s="375" t="s">
        <v>1492</v>
      </c>
      <c r="H502" s="378" t="s">
        <v>715</v>
      </c>
      <c r="I502" s="381" t="s">
        <v>715</v>
      </c>
      <c r="J502" s="381" t="s">
        <v>716</v>
      </c>
      <c r="K502" s="384">
        <v>1</v>
      </c>
      <c r="L502" s="387" t="s">
        <v>4</v>
      </c>
      <c r="M502" s="390">
        <v>0</v>
      </c>
      <c r="N502" s="163"/>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c r="AX502" s="161"/>
      <c r="AY502" s="161"/>
      <c r="AZ502" s="161"/>
      <c r="BA502" s="161"/>
      <c r="BB502" s="161"/>
      <c r="BC502" s="161"/>
      <c r="BD502" s="161"/>
      <c r="BE502" s="161"/>
      <c r="BF502" s="161"/>
      <c r="BG502" s="161"/>
      <c r="BH502" s="161"/>
      <c r="BI502" s="161"/>
      <c r="BJ502" s="161"/>
      <c r="BK502" s="161"/>
      <c r="BL502" s="161"/>
      <c r="BM502" s="161"/>
      <c r="BN502" s="162"/>
      <c r="BO502" s="251"/>
      <c r="BP502" s="250"/>
      <c r="BQ502" s="250"/>
      <c r="BR502" s="250"/>
      <c r="BS502" s="250"/>
      <c r="BT502" s="250"/>
      <c r="BU502" s="250"/>
      <c r="BY502" s="250"/>
    </row>
    <row r="503" spans="3:78" ht="11.25" customHeight="1">
      <c r="C503" s="306"/>
      <c r="D503" s="367"/>
      <c r="E503" s="370"/>
      <c r="F503" s="406"/>
      <c r="G503" s="376"/>
      <c r="H503" s="379"/>
      <c r="I503" s="382"/>
      <c r="J503" s="382"/>
      <c r="K503" s="385"/>
      <c r="L503" s="388"/>
      <c r="M503" s="391"/>
      <c r="N503" s="393"/>
      <c r="O503" s="396">
        <v>1</v>
      </c>
      <c r="P503" s="399" t="s">
        <v>1297</v>
      </c>
      <c r="Q503" s="402"/>
      <c r="R503" s="361" t="s">
        <v>154</v>
      </c>
      <c r="S503" s="361" t="s">
        <v>154</v>
      </c>
      <c r="T503" s="361" t="s">
        <v>154</v>
      </c>
      <c r="U503" s="361" t="s">
        <v>154</v>
      </c>
      <c r="V503" s="361" t="s">
        <v>154</v>
      </c>
      <c r="W503" s="361" t="s">
        <v>154</v>
      </c>
      <c r="X503" s="361" t="s">
        <v>154</v>
      </c>
      <c r="Y503" s="361" t="s">
        <v>154</v>
      </c>
      <c r="Z503" s="361" t="s">
        <v>154</v>
      </c>
      <c r="AA503" s="361" t="s">
        <v>154</v>
      </c>
      <c r="AB503" s="361" t="s">
        <v>154</v>
      </c>
      <c r="AC503" s="361" t="s">
        <v>154</v>
      </c>
      <c r="AD503" s="361" t="s">
        <v>154</v>
      </c>
      <c r="AE503" s="209"/>
      <c r="AF503" s="220">
        <v>0</v>
      </c>
      <c r="AG503" s="219" t="s">
        <v>308</v>
      </c>
      <c r="AH503" s="219"/>
      <c r="AI503" s="219"/>
      <c r="AJ503" s="219"/>
      <c r="AK503" s="219"/>
      <c r="AL503" s="219"/>
      <c r="AM503" s="219"/>
      <c r="AN503" s="219"/>
      <c r="AO503" s="219"/>
      <c r="AP503" s="164"/>
      <c r="AQ503" s="164"/>
      <c r="AR503" s="164"/>
      <c r="AS503" s="164"/>
      <c r="AT503" s="164"/>
      <c r="AU503" s="164"/>
      <c r="AV503" s="164"/>
      <c r="AW503" s="164"/>
      <c r="AX503" s="164"/>
      <c r="AY503" s="164"/>
      <c r="AZ503" s="164"/>
      <c r="BA503" s="164"/>
      <c r="BB503" s="164"/>
      <c r="BC503" s="164"/>
      <c r="BD503" s="164"/>
      <c r="BE503" s="164"/>
      <c r="BF503" s="164"/>
      <c r="BG503" s="164"/>
      <c r="BH503" s="164"/>
      <c r="BI503" s="164"/>
      <c r="BJ503" s="164"/>
      <c r="BK503" s="164"/>
      <c r="BL503" s="164"/>
      <c r="BM503" s="164"/>
      <c r="BN503" s="165"/>
      <c r="BO503" s="251"/>
      <c r="BP503" s="364" t="s">
        <v>1298</v>
      </c>
      <c r="BQ503" s="364" t="s">
        <v>1298</v>
      </c>
      <c r="BR503" s="364" t="s">
        <v>1298</v>
      </c>
      <c r="BS503" s="250"/>
      <c r="BT503" s="364" t="s">
        <v>1298</v>
      </c>
      <c r="BU503" s="364" t="s">
        <v>1298</v>
      </c>
      <c r="BV503" s="364" t="s">
        <v>1298</v>
      </c>
      <c r="BW503" s="364" t="s">
        <v>1298</v>
      </c>
      <c r="BX503" s="364" t="s">
        <v>1298</v>
      </c>
      <c r="BY503" s="250"/>
    </row>
    <row r="504" spans="3:78" ht="14.25">
      <c r="C504" s="306"/>
      <c r="D504" s="367"/>
      <c r="E504" s="370"/>
      <c r="F504" s="406"/>
      <c r="G504" s="376"/>
      <c r="H504" s="379"/>
      <c r="I504" s="382"/>
      <c r="J504" s="382"/>
      <c r="K504" s="385"/>
      <c r="L504" s="388"/>
      <c r="M504" s="391"/>
      <c r="N504" s="394"/>
      <c r="O504" s="397"/>
      <c r="P504" s="400"/>
      <c r="Q504" s="403"/>
      <c r="R504" s="362"/>
      <c r="S504" s="362"/>
      <c r="T504" s="362"/>
      <c r="U504" s="362"/>
      <c r="V504" s="362"/>
      <c r="W504" s="362"/>
      <c r="X504" s="362"/>
      <c r="Y504" s="362"/>
      <c r="Z504" s="362"/>
      <c r="AA504" s="362"/>
      <c r="AB504" s="362"/>
      <c r="AC504" s="362"/>
      <c r="AD504" s="362"/>
      <c r="AE504" s="193"/>
      <c r="AF504" s="217" t="s">
        <v>268</v>
      </c>
      <c r="AG504" s="158" t="s">
        <v>221</v>
      </c>
      <c r="AH504" s="300" t="s">
        <v>19</v>
      </c>
      <c r="AI504" s="301" t="s">
        <v>154</v>
      </c>
      <c r="AJ504" s="221"/>
      <c r="AK504" s="221"/>
      <c r="AL504" s="221"/>
      <c r="AM504" s="221"/>
      <c r="AN504" s="221"/>
      <c r="AO504" s="221"/>
      <c r="AP504" s="302" t="s">
        <v>19</v>
      </c>
      <c r="AQ504" s="195">
        <f>SUM(AT504,AW504,AZ504,BC504,BF504,BI504,BL504)</f>
        <v>1556.1234921552918</v>
      </c>
      <c r="AR504" s="197">
        <f>SUM(AT504,AX504,BA504,BD504,BG504,BJ504,BM504)</f>
        <v>0</v>
      </c>
      <c r="AS504" s="195">
        <f>AQ504-AR504</f>
        <v>1556.1234921552918</v>
      </c>
      <c r="AT504" s="312"/>
      <c r="AU504" s="312"/>
      <c r="AV504" s="244"/>
      <c r="AW504" s="159"/>
      <c r="AX504" s="312"/>
      <c r="AY504" s="194">
        <f>AW504-AX504</f>
        <v>0</v>
      </c>
      <c r="AZ504" s="160">
        <v>1556.1234921552918</v>
      </c>
      <c r="BA504" s="312"/>
      <c r="BB504" s="194">
        <f>AZ504-BA504</f>
        <v>1556.1234921552918</v>
      </c>
      <c r="BC504" s="159"/>
      <c r="BD504" s="312"/>
      <c r="BE504" s="194">
        <f>BC504-BD504</f>
        <v>0</v>
      </c>
      <c r="BF504" s="159"/>
      <c r="BG504" s="244"/>
      <c r="BH504" s="194">
        <f>BF504-BG504</f>
        <v>0</v>
      </c>
      <c r="BI504" s="159"/>
      <c r="BJ504" s="244"/>
      <c r="BK504" s="194">
        <f>BI504-BJ504</f>
        <v>0</v>
      </c>
      <c r="BL504" s="312"/>
      <c r="BM504" s="312"/>
      <c r="BN504" s="195">
        <f>BL504-BM504</f>
        <v>0</v>
      </c>
      <c r="BO504" s="251">
        <v>0</v>
      </c>
      <c r="BP504" s="364"/>
      <c r="BQ504" s="364"/>
      <c r="BR504" s="364"/>
      <c r="BS504" s="249" t="str">
        <f>AG504 &amp; BO504</f>
        <v>Амортизационные отчисления0</v>
      </c>
      <c r="BT504" s="364"/>
      <c r="BU504" s="364"/>
      <c r="BV504" s="364"/>
      <c r="BW504" s="364"/>
      <c r="BX504" s="364"/>
      <c r="BY504" s="249" t="str">
        <f>AG504&amp;AH504</f>
        <v>Амортизационные отчислениянет</v>
      </c>
      <c r="BZ504" s="250"/>
    </row>
    <row r="505" spans="3:78" ht="14.25">
      <c r="C505" s="97"/>
      <c r="D505" s="367"/>
      <c r="E505" s="370"/>
      <c r="F505" s="406"/>
      <c r="G505" s="376"/>
      <c r="H505" s="379"/>
      <c r="I505" s="382"/>
      <c r="J505" s="382"/>
      <c r="K505" s="385"/>
      <c r="L505" s="388"/>
      <c r="M505" s="391"/>
      <c r="N505" s="394"/>
      <c r="O505" s="397"/>
      <c r="P505" s="400"/>
      <c r="Q505" s="403"/>
      <c r="R505" s="362"/>
      <c r="S505" s="362"/>
      <c r="T505" s="362"/>
      <c r="U505" s="362"/>
      <c r="V505" s="362"/>
      <c r="W505" s="362"/>
      <c r="X505" s="362"/>
      <c r="Y505" s="362"/>
      <c r="Z505" s="362"/>
      <c r="AA505" s="362"/>
      <c r="AB505" s="362"/>
      <c r="AC505" s="362"/>
      <c r="AD505" s="362"/>
      <c r="AE505" s="322" t="s">
        <v>1240</v>
      </c>
      <c r="AF505" s="217" t="s">
        <v>118</v>
      </c>
      <c r="AG505" s="196" t="s">
        <v>223</v>
      </c>
      <c r="AH505" s="302" t="s">
        <v>19</v>
      </c>
      <c r="AI505" s="301" t="s">
        <v>154</v>
      </c>
      <c r="AJ505" s="221"/>
      <c r="AK505" s="221"/>
      <c r="AL505" s="221"/>
      <c r="AM505" s="221"/>
      <c r="AN505" s="221"/>
      <c r="AO505" s="221"/>
      <c r="AP505" s="302" t="s">
        <v>19</v>
      </c>
      <c r="AQ505" s="195">
        <f>SUM(AT505,AW505,AZ505,BC505,BF505,BI505,BL505)</f>
        <v>311.22469843105819</v>
      </c>
      <c r="AR505" s="197">
        <f>SUM(AT505,AX505,BA505,BD505,BG505,BJ505,BM505)</f>
        <v>0</v>
      </c>
      <c r="AS505" s="195">
        <f>AQ505-AR505</f>
        <v>311.22469843105819</v>
      </c>
      <c r="AT505" s="315"/>
      <c r="AU505" s="315"/>
      <c r="AV505" s="241"/>
      <c r="AW505" s="198"/>
      <c r="AX505" s="313"/>
      <c r="AY505" s="199">
        <f>AW505-AX505</f>
        <v>0</v>
      </c>
      <c r="AZ505" s="173">
        <f>1867.34819058635-AZ504</f>
        <v>311.22469843105819</v>
      </c>
      <c r="BA505" s="313"/>
      <c r="BB505" s="199">
        <f>AZ505-BA505</f>
        <v>311.22469843105819</v>
      </c>
      <c r="BC505" s="198"/>
      <c r="BD505" s="313"/>
      <c r="BE505" s="199">
        <f>BC505-BD505</f>
        <v>0</v>
      </c>
      <c r="BF505" s="198"/>
      <c r="BG505" s="241"/>
      <c r="BH505" s="199">
        <f>BF505-BG505</f>
        <v>0</v>
      </c>
      <c r="BI505" s="198"/>
      <c r="BJ505" s="241"/>
      <c r="BK505" s="199">
        <f>BI505-BJ505</f>
        <v>0</v>
      </c>
      <c r="BL505" s="313"/>
      <c r="BM505" s="313"/>
      <c r="BN505" s="195">
        <f>BL505-BM505</f>
        <v>0</v>
      </c>
      <c r="BO505" s="251">
        <v>0</v>
      </c>
      <c r="BP505" s="364"/>
      <c r="BQ505" s="364"/>
      <c r="BR505" s="364"/>
      <c r="BS505" s="249" t="str">
        <f>AG505 &amp; BO505</f>
        <v>Прочие собственные средства0</v>
      </c>
      <c r="BT505" s="364"/>
      <c r="BU505" s="364"/>
      <c r="BV505" s="364"/>
      <c r="BW505" s="364"/>
      <c r="BX505" s="364"/>
      <c r="BY505" s="249" t="str">
        <f>AG505&amp;AH505</f>
        <v>Прочие собственные средстванет</v>
      </c>
      <c r="BZ505" s="250"/>
    </row>
    <row r="506" spans="3:78" ht="15" customHeight="1">
      <c r="C506" s="306"/>
      <c r="D506" s="367"/>
      <c r="E506" s="370"/>
      <c r="F506" s="406"/>
      <c r="G506" s="376"/>
      <c r="H506" s="379"/>
      <c r="I506" s="382"/>
      <c r="J506" s="382"/>
      <c r="K506" s="385"/>
      <c r="L506" s="388"/>
      <c r="M506" s="391"/>
      <c r="N506" s="395"/>
      <c r="O506" s="398"/>
      <c r="P506" s="401"/>
      <c r="Q506" s="404"/>
      <c r="R506" s="363"/>
      <c r="S506" s="363"/>
      <c r="T506" s="363"/>
      <c r="U506" s="363"/>
      <c r="V506" s="363"/>
      <c r="W506" s="363"/>
      <c r="X506" s="363"/>
      <c r="Y506" s="363"/>
      <c r="Z506" s="363"/>
      <c r="AA506" s="363"/>
      <c r="AB506" s="363"/>
      <c r="AC506" s="363"/>
      <c r="AD506" s="363"/>
      <c r="AE506" s="279" t="s">
        <v>379</v>
      </c>
      <c r="AF506" s="203"/>
      <c r="AG506" s="223" t="s">
        <v>24</v>
      </c>
      <c r="AH506" s="223"/>
      <c r="AI506" s="223"/>
      <c r="AJ506" s="223"/>
      <c r="AK506" s="223"/>
      <c r="AL506" s="223"/>
      <c r="AM506" s="223"/>
      <c r="AN506" s="223"/>
      <c r="AO506" s="223"/>
      <c r="AP506" s="168"/>
      <c r="AQ506" s="169"/>
      <c r="AR506" s="169"/>
      <c r="AS506" s="169"/>
      <c r="AT506" s="169"/>
      <c r="AU506" s="169"/>
      <c r="AV506" s="169"/>
      <c r="AW506" s="169"/>
      <c r="AX506" s="169"/>
      <c r="AY506" s="169"/>
      <c r="AZ506" s="169"/>
      <c r="BA506" s="169"/>
      <c r="BB506" s="169"/>
      <c r="BC506" s="169"/>
      <c r="BD506" s="169"/>
      <c r="BE506" s="169"/>
      <c r="BF506" s="169"/>
      <c r="BG506" s="169"/>
      <c r="BH506" s="169"/>
      <c r="BI506" s="169"/>
      <c r="BJ506" s="169"/>
      <c r="BK506" s="169"/>
      <c r="BL506" s="169"/>
      <c r="BM506" s="169"/>
      <c r="BN506" s="170"/>
      <c r="BO506" s="251"/>
      <c r="BP506" s="364"/>
      <c r="BQ506" s="364"/>
      <c r="BR506" s="364"/>
      <c r="BS506" s="250"/>
      <c r="BT506" s="364"/>
      <c r="BU506" s="364"/>
      <c r="BV506" s="364"/>
      <c r="BW506" s="364"/>
      <c r="BX506" s="364"/>
      <c r="BY506" s="250"/>
    </row>
    <row r="507" spans="3:78" ht="15" customHeight="1" thickBot="1">
      <c r="C507" s="307"/>
      <c r="D507" s="368"/>
      <c r="E507" s="371"/>
      <c r="F507" s="407"/>
      <c r="G507" s="377"/>
      <c r="H507" s="380"/>
      <c r="I507" s="383"/>
      <c r="J507" s="383"/>
      <c r="K507" s="386"/>
      <c r="L507" s="389"/>
      <c r="M507" s="392"/>
      <c r="N507" s="280" t="s">
        <v>380</v>
      </c>
      <c r="O507" s="212"/>
      <c r="P507" s="365" t="s">
        <v>154</v>
      </c>
      <c r="Q507" s="365"/>
      <c r="R507" s="171"/>
      <c r="S507" s="171"/>
      <c r="T507" s="166"/>
      <c r="U507" s="166"/>
      <c r="V507" s="166"/>
      <c r="W507" s="166"/>
      <c r="X507" s="166"/>
      <c r="Y507" s="166"/>
      <c r="Z507" s="166"/>
      <c r="AA507" s="166"/>
      <c r="AB507" s="166"/>
      <c r="AC507" s="166"/>
      <c r="AD507" s="166"/>
      <c r="AE507" s="166"/>
      <c r="AF507" s="166"/>
      <c r="AG507" s="166"/>
      <c r="AH507" s="166"/>
      <c r="AI507" s="166"/>
      <c r="AJ507" s="166"/>
      <c r="AK507" s="166"/>
      <c r="AL507" s="166"/>
      <c r="AM507" s="166"/>
      <c r="AN507" s="166"/>
      <c r="AO507" s="166"/>
      <c r="AP507" s="166"/>
      <c r="AQ507" s="166"/>
      <c r="AR507" s="166"/>
      <c r="AS507" s="166"/>
      <c r="AT507" s="166"/>
      <c r="AU507" s="166"/>
      <c r="AV507" s="166"/>
      <c r="AW507" s="166"/>
      <c r="AX507" s="166"/>
      <c r="AY507" s="166"/>
      <c r="AZ507" s="166"/>
      <c r="BA507" s="166"/>
      <c r="BB507" s="166"/>
      <c r="BC507" s="166"/>
      <c r="BD507" s="166"/>
      <c r="BE507" s="166"/>
      <c r="BF507" s="166"/>
      <c r="BG507" s="166"/>
      <c r="BH507" s="166"/>
      <c r="BI507" s="166"/>
      <c r="BJ507" s="166"/>
      <c r="BK507" s="166"/>
      <c r="BL507" s="166"/>
      <c r="BM507" s="166"/>
      <c r="BN507" s="167"/>
      <c r="BO507" s="251"/>
      <c r="BP507" s="250"/>
      <c r="BQ507" s="250"/>
      <c r="BR507" s="250"/>
      <c r="BS507" s="250"/>
      <c r="BT507" s="250"/>
      <c r="BU507" s="250"/>
      <c r="BY507" s="250"/>
    </row>
    <row r="508" spans="3:78" ht="11.25" customHeight="1">
      <c r="C508" s="97" t="s">
        <v>1240</v>
      </c>
      <c r="D508" s="366" t="s">
        <v>1367</v>
      </c>
      <c r="E508" s="369" t="s">
        <v>199</v>
      </c>
      <c r="F508" s="405" t="s">
        <v>209</v>
      </c>
      <c r="G508" s="375" t="s">
        <v>1379</v>
      </c>
      <c r="H508" s="378" t="s">
        <v>715</v>
      </c>
      <c r="I508" s="381" t="s">
        <v>715</v>
      </c>
      <c r="J508" s="381" t="s">
        <v>716</v>
      </c>
      <c r="K508" s="384">
        <v>1</v>
      </c>
      <c r="L508" s="387" t="s">
        <v>4</v>
      </c>
      <c r="M508" s="390">
        <v>0</v>
      </c>
      <c r="N508" s="163"/>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c r="AX508" s="161"/>
      <c r="AY508" s="161"/>
      <c r="AZ508" s="161"/>
      <c r="BA508" s="161"/>
      <c r="BB508" s="161"/>
      <c r="BC508" s="161"/>
      <c r="BD508" s="161"/>
      <c r="BE508" s="161"/>
      <c r="BF508" s="161"/>
      <c r="BG508" s="161"/>
      <c r="BH508" s="161"/>
      <c r="BI508" s="161"/>
      <c r="BJ508" s="161"/>
      <c r="BK508" s="161"/>
      <c r="BL508" s="161"/>
      <c r="BM508" s="161"/>
      <c r="BN508" s="162"/>
      <c r="BO508" s="251"/>
      <c r="BP508" s="250"/>
      <c r="BQ508" s="250"/>
      <c r="BR508" s="250"/>
      <c r="BS508" s="250"/>
      <c r="BT508" s="250"/>
      <c r="BU508" s="250"/>
      <c r="BY508" s="250"/>
    </row>
    <row r="509" spans="3:78" ht="11.25" customHeight="1">
      <c r="C509" s="306"/>
      <c r="D509" s="367"/>
      <c r="E509" s="370"/>
      <c r="F509" s="406"/>
      <c r="G509" s="376"/>
      <c r="H509" s="379"/>
      <c r="I509" s="382"/>
      <c r="J509" s="382"/>
      <c r="K509" s="385"/>
      <c r="L509" s="388"/>
      <c r="M509" s="391"/>
      <c r="N509" s="393"/>
      <c r="O509" s="396">
        <v>1</v>
      </c>
      <c r="P509" s="399" t="s">
        <v>1297</v>
      </c>
      <c r="Q509" s="402"/>
      <c r="R509" s="361" t="s">
        <v>154</v>
      </c>
      <c r="S509" s="361" t="s">
        <v>154</v>
      </c>
      <c r="T509" s="361" t="s">
        <v>154</v>
      </c>
      <c r="U509" s="361" t="s">
        <v>154</v>
      </c>
      <c r="V509" s="361" t="s">
        <v>154</v>
      </c>
      <c r="W509" s="361" t="s">
        <v>154</v>
      </c>
      <c r="X509" s="361" t="s">
        <v>154</v>
      </c>
      <c r="Y509" s="361" t="s">
        <v>154</v>
      </c>
      <c r="Z509" s="361" t="s">
        <v>154</v>
      </c>
      <c r="AA509" s="361" t="s">
        <v>154</v>
      </c>
      <c r="AB509" s="361" t="s">
        <v>154</v>
      </c>
      <c r="AC509" s="361" t="s">
        <v>154</v>
      </c>
      <c r="AD509" s="361" t="s">
        <v>154</v>
      </c>
      <c r="AE509" s="209"/>
      <c r="AF509" s="220">
        <v>0</v>
      </c>
      <c r="AG509" s="219" t="s">
        <v>308</v>
      </c>
      <c r="AH509" s="219"/>
      <c r="AI509" s="219"/>
      <c r="AJ509" s="219"/>
      <c r="AK509" s="219"/>
      <c r="AL509" s="219"/>
      <c r="AM509" s="219"/>
      <c r="AN509" s="219"/>
      <c r="AO509" s="219"/>
      <c r="AP509" s="164"/>
      <c r="AQ509" s="164"/>
      <c r="AR509" s="164"/>
      <c r="AS509" s="164"/>
      <c r="AT509" s="164"/>
      <c r="AU509" s="164"/>
      <c r="AV509" s="164"/>
      <c r="AW509" s="164"/>
      <c r="AX509" s="164"/>
      <c r="AY509" s="164"/>
      <c r="AZ509" s="164"/>
      <c r="BA509" s="164"/>
      <c r="BB509" s="164"/>
      <c r="BC509" s="164"/>
      <c r="BD509" s="164"/>
      <c r="BE509" s="164"/>
      <c r="BF509" s="164"/>
      <c r="BG509" s="164"/>
      <c r="BH509" s="164"/>
      <c r="BI509" s="164"/>
      <c r="BJ509" s="164"/>
      <c r="BK509" s="164"/>
      <c r="BL509" s="164"/>
      <c r="BM509" s="164"/>
      <c r="BN509" s="165"/>
      <c r="BO509" s="251"/>
      <c r="BP509" s="364" t="s">
        <v>1298</v>
      </c>
      <c r="BQ509" s="364" t="s">
        <v>1298</v>
      </c>
      <c r="BR509" s="364" t="s">
        <v>1298</v>
      </c>
      <c r="BS509" s="250"/>
      <c r="BT509" s="364" t="s">
        <v>1298</v>
      </c>
      <c r="BU509" s="364" t="s">
        <v>1298</v>
      </c>
      <c r="BV509" s="364" t="s">
        <v>1298</v>
      </c>
      <c r="BW509" s="364" t="s">
        <v>1298</v>
      </c>
      <c r="BX509" s="364" t="s">
        <v>1298</v>
      </c>
      <c r="BY509" s="250"/>
    </row>
    <row r="510" spans="3:78" ht="14.25">
      <c r="C510" s="306"/>
      <c r="D510" s="367"/>
      <c r="E510" s="370"/>
      <c r="F510" s="406"/>
      <c r="G510" s="376"/>
      <c r="H510" s="379"/>
      <c r="I510" s="382"/>
      <c r="J510" s="382"/>
      <c r="K510" s="385"/>
      <c r="L510" s="388"/>
      <c r="M510" s="391"/>
      <c r="N510" s="394"/>
      <c r="O510" s="397"/>
      <c r="P510" s="400"/>
      <c r="Q510" s="403"/>
      <c r="R510" s="362"/>
      <c r="S510" s="362"/>
      <c r="T510" s="362"/>
      <c r="U510" s="362"/>
      <c r="V510" s="362"/>
      <c r="W510" s="362"/>
      <c r="X510" s="362"/>
      <c r="Y510" s="362"/>
      <c r="Z510" s="362"/>
      <c r="AA510" s="362"/>
      <c r="AB510" s="362"/>
      <c r="AC510" s="362"/>
      <c r="AD510" s="362"/>
      <c r="AE510" s="193"/>
      <c r="AF510" s="217" t="s">
        <v>268</v>
      </c>
      <c r="AG510" s="158" t="s">
        <v>221</v>
      </c>
      <c r="AH510" s="300" t="s">
        <v>19</v>
      </c>
      <c r="AI510" s="301" t="s">
        <v>154</v>
      </c>
      <c r="AJ510" s="221"/>
      <c r="AK510" s="221"/>
      <c r="AL510" s="221"/>
      <c r="AM510" s="221"/>
      <c r="AN510" s="221"/>
      <c r="AO510" s="221"/>
      <c r="AP510" s="302" t="s">
        <v>19</v>
      </c>
      <c r="AQ510" s="195">
        <f>SUM(AT510,AW510,AZ510,BC510,BF510,BI510,BL510)</f>
        <v>132502.00798142917</v>
      </c>
      <c r="AR510" s="197">
        <f>SUM(AT510,AX510,BA510,BD510,BG510,BJ510,BM510)</f>
        <v>0</v>
      </c>
      <c r="AS510" s="195">
        <f>AQ510-AR510</f>
        <v>132502.00798142917</v>
      </c>
      <c r="AT510" s="312"/>
      <c r="AU510" s="312"/>
      <c r="AV510" s="244"/>
      <c r="AW510" s="159"/>
      <c r="AX510" s="312"/>
      <c r="AY510" s="194">
        <f>AW510-AX510</f>
        <v>0</v>
      </c>
      <c r="AZ510" s="160">
        <v>132502.00798142917</v>
      </c>
      <c r="BA510" s="312"/>
      <c r="BB510" s="194">
        <f>AZ510-BA510</f>
        <v>132502.00798142917</v>
      </c>
      <c r="BC510" s="159"/>
      <c r="BD510" s="312"/>
      <c r="BE510" s="194">
        <f>BC510-BD510</f>
        <v>0</v>
      </c>
      <c r="BF510" s="159"/>
      <c r="BG510" s="244"/>
      <c r="BH510" s="194">
        <f>BF510-BG510</f>
        <v>0</v>
      </c>
      <c r="BI510" s="159"/>
      <c r="BJ510" s="244"/>
      <c r="BK510" s="194">
        <f>BI510-BJ510</f>
        <v>0</v>
      </c>
      <c r="BL510" s="312"/>
      <c r="BM510" s="312"/>
      <c r="BN510" s="195">
        <f>BL510-BM510</f>
        <v>0</v>
      </c>
      <c r="BO510" s="251">
        <v>0</v>
      </c>
      <c r="BP510" s="364"/>
      <c r="BQ510" s="364"/>
      <c r="BR510" s="364"/>
      <c r="BS510" s="249" t="str">
        <f>AG510 &amp; BO510</f>
        <v>Амортизационные отчисления0</v>
      </c>
      <c r="BT510" s="364"/>
      <c r="BU510" s="364"/>
      <c r="BV510" s="364"/>
      <c r="BW510" s="364"/>
      <c r="BX510" s="364"/>
      <c r="BY510" s="249" t="str">
        <f>AG510&amp;AH510</f>
        <v>Амортизационные отчислениянет</v>
      </c>
      <c r="BZ510" s="250"/>
    </row>
    <row r="511" spans="3:78" ht="14.25">
      <c r="C511" s="97"/>
      <c r="D511" s="367"/>
      <c r="E511" s="370"/>
      <c r="F511" s="406"/>
      <c r="G511" s="376"/>
      <c r="H511" s="379"/>
      <c r="I511" s="382"/>
      <c r="J511" s="382"/>
      <c r="K511" s="385"/>
      <c r="L511" s="388"/>
      <c r="M511" s="391"/>
      <c r="N511" s="394"/>
      <c r="O511" s="397"/>
      <c r="P511" s="400"/>
      <c r="Q511" s="403"/>
      <c r="R511" s="362"/>
      <c r="S511" s="362"/>
      <c r="T511" s="362"/>
      <c r="U511" s="362"/>
      <c r="V511" s="362"/>
      <c r="W511" s="362"/>
      <c r="X511" s="362"/>
      <c r="Y511" s="362"/>
      <c r="Z511" s="362"/>
      <c r="AA511" s="362"/>
      <c r="AB511" s="362"/>
      <c r="AC511" s="362"/>
      <c r="AD511" s="362"/>
      <c r="AE511" s="322" t="s">
        <v>1240</v>
      </c>
      <c r="AF511" s="217" t="s">
        <v>118</v>
      </c>
      <c r="AG511" s="196" t="s">
        <v>223</v>
      </c>
      <c r="AH511" s="302" t="s">
        <v>19</v>
      </c>
      <c r="AI511" s="301" t="s">
        <v>154</v>
      </c>
      <c r="AJ511" s="221"/>
      <c r="AK511" s="221"/>
      <c r="AL511" s="221"/>
      <c r="AM511" s="221"/>
      <c r="AN511" s="221"/>
      <c r="AO511" s="221"/>
      <c r="AP511" s="302" t="s">
        <v>19</v>
      </c>
      <c r="AQ511" s="195">
        <f>SUM(AT511,AW511,AZ511,BC511,BF511,BI511,BL511)</f>
        <v>26500.401596285839</v>
      </c>
      <c r="AR511" s="197">
        <f>SUM(AT511,AX511,BA511,BD511,BG511,BJ511,BM511)</f>
        <v>0</v>
      </c>
      <c r="AS511" s="195">
        <f>AQ511-AR511</f>
        <v>26500.401596285839</v>
      </c>
      <c r="AT511" s="315"/>
      <c r="AU511" s="315"/>
      <c r="AV511" s="241"/>
      <c r="AW511" s="198"/>
      <c r="AX511" s="313"/>
      <c r="AY511" s="199">
        <f>AW511-AX511</f>
        <v>0</v>
      </c>
      <c r="AZ511" s="173">
        <f>159002.409577715-AZ510</f>
        <v>26500.401596285839</v>
      </c>
      <c r="BA511" s="313"/>
      <c r="BB511" s="199">
        <f>AZ511-BA511</f>
        <v>26500.401596285839</v>
      </c>
      <c r="BC511" s="198"/>
      <c r="BD511" s="313"/>
      <c r="BE511" s="199">
        <f>BC511-BD511</f>
        <v>0</v>
      </c>
      <c r="BF511" s="198"/>
      <c r="BG511" s="241"/>
      <c r="BH511" s="199">
        <f>BF511-BG511</f>
        <v>0</v>
      </c>
      <c r="BI511" s="198"/>
      <c r="BJ511" s="241"/>
      <c r="BK511" s="199">
        <f>BI511-BJ511</f>
        <v>0</v>
      </c>
      <c r="BL511" s="313"/>
      <c r="BM511" s="313"/>
      <c r="BN511" s="195">
        <f>BL511-BM511</f>
        <v>0</v>
      </c>
      <c r="BO511" s="251">
        <v>0</v>
      </c>
      <c r="BP511" s="364"/>
      <c r="BQ511" s="364"/>
      <c r="BR511" s="364"/>
      <c r="BS511" s="249" t="str">
        <f>AG511 &amp; BO511</f>
        <v>Прочие собственные средства0</v>
      </c>
      <c r="BT511" s="364"/>
      <c r="BU511" s="364"/>
      <c r="BV511" s="364"/>
      <c r="BW511" s="364"/>
      <c r="BX511" s="364"/>
      <c r="BY511" s="249" t="str">
        <f>AG511&amp;AH511</f>
        <v>Прочие собственные средстванет</v>
      </c>
      <c r="BZ511" s="250"/>
    </row>
    <row r="512" spans="3:78" ht="15" customHeight="1">
      <c r="C512" s="306"/>
      <c r="D512" s="367"/>
      <c r="E512" s="370"/>
      <c r="F512" s="406"/>
      <c r="G512" s="376"/>
      <c r="H512" s="379"/>
      <c r="I512" s="382"/>
      <c r="J512" s="382"/>
      <c r="K512" s="385"/>
      <c r="L512" s="388"/>
      <c r="M512" s="391"/>
      <c r="N512" s="395"/>
      <c r="O512" s="398"/>
      <c r="P512" s="401"/>
      <c r="Q512" s="404"/>
      <c r="R512" s="363"/>
      <c r="S512" s="363"/>
      <c r="T512" s="363"/>
      <c r="U512" s="363"/>
      <c r="V512" s="363"/>
      <c r="W512" s="363"/>
      <c r="X512" s="363"/>
      <c r="Y512" s="363"/>
      <c r="Z512" s="363"/>
      <c r="AA512" s="363"/>
      <c r="AB512" s="363"/>
      <c r="AC512" s="363"/>
      <c r="AD512" s="363"/>
      <c r="AE512" s="279" t="s">
        <v>379</v>
      </c>
      <c r="AF512" s="203"/>
      <c r="AG512" s="223" t="s">
        <v>24</v>
      </c>
      <c r="AH512" s="223"/>
      <c r="AI512" s="223"/>
      <c r="AJ512" s="223"/>
      <c r="AK512" s="223"/>
      <c r="AL512" s="223"/>
      <c r="AM512" s="223"/>
      <c r="AN512" s="223"/>
      <c r="AO512" s="223"/>
      <c r="AP512" s="168"/>
      <c r="AQ512" s="169"/>
      <c r="AR512" s="169"/>
      <c r="AS512" s="169"/>
      <c r="AT512" s="169"/>
      <c r="AU512" s="169"/>
      <c r="AV512" s="169"/>
      <c r="AW512" s="169"/>
      <c r="AX512" s="169"/>
      <c r="AY512" s="169"/>
      <c r="AZ512" s="169"/>
      <c r="BA512" s="169"/>
      <c r="BB512" s="169"/>
      <c r="BC512" s="169"/>
      <c r="BD512" s="169"/>
      <c r="BE512" s="169"/>
      <c r="BF512" s="169"/>
      <c r="BG512" s="169"/>
      <c r="BH512" s="169"/>
      <c r="BI512" s="169"/>
      <c r="BJ512" s="169"/>
      <c r="BK512" s="169"/>
      <c r="BL512" s="169"/>
      <c r="BM512" s="169"/>
      <c r="BN512" s="170"/>
      <c r="BO512" s="251"/>
      <c r="BP512" s="364"/>
      <c r="BQ512" s="364"/>
      <c r="BR512" s="364"/>
      <c r="BS512" s="250"/>
      <c r="BT512" s="364"/>
      <c r="BU512" s="364"/>
      <c r="BV512" s="364"/>
      <c r="BW512" s="364"/>
      <c r="BX512" s="364"/>
      <c r="BY512" s="250"/>
    </row>
    <row r="513" spans="3:78" ht="15" customHeight="1" thickBot="1">
      <c r="C513" s="307"/>
      <c r="D513" s="368"/>
      <c r="E513" s="371"/>
      <c r="F513" s="407"/>
      <c r="G513" s="377"/>
      <c r="H513" s="380"/>
      <c r="I513" s="383"/>
      <c r="J513" s="383"/>
      <c r="K513" s="386"/>
      <c r="L513" s="389"/>
      <c r="M513" s="392"/>
      <c r="N513" s="280" t="s">
        <v>380</v>
      </c>
      <c r="O513" s="212"/>
      <c r="P513" s="365" t="s">
        <v>154</v>
      </c>
      <c r="Q513" s="365"/>
      <c r="R513" s="171"/>
      <c r="S513" s="171"/>
      <c r="T513" s="166"/>
      <c r="U513" s="166"/>
      <c r="V513" s="166"/>
      <c r="W513" s="166"/>
      <c r="X513" s="166"/>
      <c r="Y513" s="166"/>
      <c r="Z513" s="166"/>
      <c r="AA513" s="166"/>
      <c r="AB513" s="166"/>
      <c r="AC513" s="166"/>
      <c r="AD513" s="166"/>
      <c r="AE513" s="166"/>
      <c r="AF513" s="166"/>
      <c r="AG513" s="166"/>
      <c r="AH513" s="166"/>
      <c r="AI513" s="166"/>
      <c r="AJ513" s="166"/>
      <c r="AK513" s="166"/>
      <c r="AL513" s="166"/>
      <c r="AM513" s="166"/>
      <c r="AN513" s="166"/>
      <c r="AO513" s="166"/>
      <c r="AP513" s="166"/>
      <c r="AQ513" s="166"/>
      <c r="AR513" s="166"/>
      <c r="AS513" s="166"/>
      <c r="AT513" s="166"/>
      <c r="AU513" s="166"/>
      <c r="AV513" s="166"/>
      <c r="AW513" s="166"/>
      <c r="AX513" s="166"/>
      <c r="AY513" s="166"/>
      <c r="AZ513" s="166"/>
      <c r="BA513" s="166"/>
      <c r="BB513" s="166"/>
      <c r="BC513" s="166"/>
      <c r="BD513" s="166"/>
      <c r="BE513" s="166"/>
      <c r="BF513" s="166"/>
      <c r="BG513" s="166"/>
      <c r="BH513" s="166"/>
      <c r="BI513" s="166"/>
      <c r="BJ513" s="166"/>
      <c r="BK513" s="166"/>
      <c r="BL513" s="166"/>
      <c r="BM513" s="166"/>
      <c r="BN513" s="167"/>
      <c r="BO513" s="251"/>
      <c r="BP513" s="250"/>
      <c r="BQ513" s="250"/>
      <c r="BR513" s="250"/>
      <c r="BS513" s="250"/>
      <c r="BT513" s="250"/>
      <c r="BU513" s="250"/>
      <c r="BY513" s="250"/>
    </row>
    <row r="514" spans="3:78" ht="11.25" customHeight="1">
      <c r="C514" s="97" t="s">
        <v>1240</v>
      </c>
      <c r="D514" s="366" t="s">
        <v>1368</v>
      </c>
      <c r="E514" s="369" t="s">
        <v>199</v>
      </c>
      <c r="F514" s="405" t="s">
        <v>209</v>
      </c>
      <c r="G514" s="375" t="s">
        <v>1380</v>
      </c>
      <c r="H514" s="378" t="s">
        <v>715</v>
      </c>
      <c r="I514" s="381" t="s">
        <v>715</v>
      </c>
      <c r="J514" s="381" t="s">
        <v>716</v>
      </c>
      <c r="K514" s="384">
        <v>1</v>
      </c>
      <c r="L514" s="387" t="s">
        <v>3</v>
      </c>
      <c r="M514" s="390">
        <v>0</v>
      </c>
      <c r="N514" s="163"/>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c r="AW514" s="161"/>
      <c r="AX514" s="161"/>
      <c r="AY514" s="161"/>
      <c r="AZ514" s="161"/>
      <c r="BA514" s="161"/>
      <c r="BB514" s="161"/>
      <c r="BC514" s="161"/>
      <c r="BD514" s="161"/>
      <c r="BE514" s="161"/>
      <c r="BF514" s="161"/>
      <c r="BG514" s="161"/>
      <c r="BH514" s="161"/>
      <c r="BI514" s="161"/>
      <c r="BJ514" s="161"/>
      <c r="BK514" s="161"/>
      <c r="BL514" s="161"/>
      <c r="BM514" s="161"/>
      <c r="BN514" s="162"/>
      <c r="BO514" s="251"/>
      <c r="BP514" s="250"/>
      <c r="BQ514" s="250"/>
      <c r="BR514" s="250"/>
      <c r="BS514" s="250"/>
      <c r="BT514" s="250"/>
      <c r="BU514" s="250"/>
      <c r="BY514" s="250"/>
    </row>
    <row r="515" spans="3:78" ht="11.25" customHeight="1">
      <c r="C515" s="306"/>
      <c r="D515" s="367"/>
      <c r="E515" s="370"/>
      <c r="F515" s="406"/>
      <c r="G515" s="376"/>
      <c r="H515" s="379"/>
      <c r="I515" s="382"/>
      <c r="J515" s="382"/>
      <c r="K515" s="385"/>
      <c r="L515" s="388"/>
      <c r="M515" s="391"/>
      <c r="N515" s="393"/>
      <c r="O515" s="396">
        <v>1</v>
      </c>
      <c r="P515" s="399" t="s">
        <v>1297</v>
      </c>
      <c r="Q515" s="402"/>
      <c r="R515" s="361" t="s">
        <v>154</v>
      </c>
      <c r="S515" s="361" t="s">
        <v>154</v>
      </c>
      <c r="T515" s="361" t="s">
        <v>154</v>
      </c>
      <c r="U515" s="361" t="s">
        <v>154</v>
      </c>
      <c r="V515" s="361" t="s">
        <v>154</v>
      </c>
      <c r="W515" s="361" t="s">
        <v>154</v>
      </c>
      <c r="X515" s="361" t="s">
        <v>154</v>
      </c>
      <c r="Y515" s="361" t="s">
        <v>154</v>
      </c>
      <c r="Z515" s="361" t="s">
        <v>154</v>
      </c>
      <c r="AA515" s="361" t="s">
        <v>154</v>
      </c>
      <c r="AB515" s="361" t="s">
        <v>154</v>
      </c>
      <c r="AC515" s="361" t="s">
        <v>154</v>
      </c>
      <c r="AD515" s="361" t="s">
        <v>154</v>
      </c>
      <c r="AE515" s="209"/>
      <c r="AF515" s="220">
        <v>0</v>
      </c>
      <c r="AG515" s="219" t="s">
        <v>308</v>
      </c>
      <c r="AH515" s="219"/>
      <c r="AI515" s="219"/>
      <c r="AJ515" s="219"/>
      <c r="AK515" s="219"/>
      <c r="AL515" s="219"/>
      <c r="AM515" s="219"/>
      <c r="AN515" s="219"/>
      <c r="AO515" s="219"/>
      <c r="AP515" s="164"/>
      <c r="AQ515" s="164"/>
      <c r="AR515" s="164"/>
      <c r="AS515" s="164"/>
      <c r="AT515" s="164"/>
      <c r="AU515" s="164"/>
      <c r="AV515" s="164"/>
      <c r="AW515" s="164"/>
      <c r="AX515" s="164"/>
      <c r="AY515" s="164"/>
      <c r="AZ515" s="164"/>
      <c r="BA515" s="164"/>
      <c r="BB515" s="164"/>
      <c r="BC515" s="164"/>
      <c r="BD515" s="164"/>
      <c r="BE515" s="164"/>
      <c r="BF515" s="164"/>
      <c r="BG515" s="164"/>
      <c r="BH515" s="164"/>
      <c r="BI515" s="164"/>
      <c r="BJ515" s="164"/>
      <c r="BK515" s="164"/>
      <c r="BL515" s="164"/>
      <c r="BM515" s="164"/>
      <c r="BN515" s="165"/>
      <c r="BO515" s="251"/>
      <c r="BP515" s="364" t="s">
        <v>1298</v>
      </c>
      <c r="BQ515" s="364" t="s">
        <v>1298</v>
      </c>
      <c r="BR515" s="364" t="s">
        <v>1298</v>
      </c>
      <c r="BS515" s="250"/>
      <c r="BT515" s="364" t="s">
        <v>1298</v>
      </c>
      <c r="BU515" s="364" t="s">
        <v>1298</v>
      </c>
      <c r="BV515" s="364" t="s">
        <v>1298</v>
      </c>
      <c r="BW515" s="364" t="s">
        <v>1298</v>
      </c>
      <c r="BX515" s="364" t="s">
        <v>1298</v>
      </c>
      <c r="BY515" s="250"/>
    </row>
    <row r="516" spans="3:78" ht="14.25">
      <c r="C516" s="306"/>
      <c r="D516" s="367"/>
      <c r="E516" s="370"/>
      <c r="F516" s="406"/>
      <c r="G516" s="376"/>
      <c r="H516" s="379"/>
      <c r="I516" s="382"/>
      <c r="J516" s="382"/>
      <c r="K516" s="385"/>
      <c r="L516" s="388"/>
      <c r="M516" s="391"/>
      <c r="N516" s="394"/>
      <c r="O516" s="397"/>
      <c r="P516" s="400"/>
      <c r="Q516" s="403"/>
      <c r="R516" s="362"/>
      <c r="S516" s="362"/>
      <c r="T516" s="362"/>
      <c r="U516" s="362"/>
      <c r="V516" s="362"/>
      <c r="W516" s="362"/>
      <c r="X516" s="362"/>
      <c r="Y516" s="362"/>
      <c r="Z516" s="362"/>
      <c r="AA516" s="362"/>
      <c r="AB516" s="362"/>
      <c r="AC516" s="362"/>
      <c r="AD516" s="362"/>
      <c r="AE516" s="193"/>
      <c r="AF516" s="217" t="s">
        <v>268</v>
      </c>
      <c r="AG516" s="158" t="s">
        <v>221</v>
      </c>
      <c r="AH516" s="300" t="s">
        <v>19</v>
      </c>
      <c r="AI516" s="301" t="s">
        <v>154</v>
      </c>
      <c r="AJ516" s="221"/>
      <c r="AK516" s="221"/>
      <c r="AL516" s="221"/>
      <c r="AM516" s="221"/>
      <c r="AN516" s="221"/>
      <c r="AO516" s="221"/>
      <c r="AP516" s="302" t="s">
        <v>19</v>
      </c>
      <c r="AQ516" s="195">
        <f>SUM(AT516,AW516,AZ516,BC516,BF516,BI516,BL516)</f>
        <v>18406.004242616917</v>
      </c>
      <c r="AR516" s="197">
        <f>SUM(AT516,AX516,BA516,BD516,BG516,BJ516,BM516)</f>
        <v>0</v>
      </c>
      <c r="AS516" s="195">
        <f>AQ516-AR516</f>
        <v>18406.004242616917</v>
      </c>
      <c r="AT516" s="312"/>
      <c r="AU516" s="312"/>
      <c r="AV516" s="244"/>
      <c r="AW516" s="159">
        <v>18406.004242616917</v>
      </c>
      <c r="AX516" s="312"/>
      <c r="AY516" s="194">
        <f>AW516-AX516</f>
        <v>18406.004242616917</v>
      </c>
      <c r="AZ516" s="160"/>
      <c r="BA516" s="312"/>
      <c r="BB516" s="194">
        <f>AZ516-BA516</f>
        <v>0</v>
      </c>
      <c r="BC516" s="159"/>
      <c r="BD516" s="312"/>
      <c r="BE516" s="194">
        <f>BC516-BD516</f>
        <v>0</v>
      </c>
      <c r="BF516" s="159"/>
      <c r="BG516" s="244"/>
      <c r="BH516" s="194">
        <f>BF516-BG516</f>
        <v>0</v>
      </c>
      <c r="BI516" s="159"/>
      <c r="BJ516" s="244"/>
      <c r="BK516" s="194">
        <f>BI516-BJ516</f>
        <v>0</v>
      </c>
      <c r="BL516" s="312"/>
      <c r="BM516" s="312"/>
      <c r="BN516" s="195">
        <f>BL516-BM516</f>
        <v>0</v>
      </c>
      <c r="BO516" s="251">
        <v>0</v>
      </c>
      <c r="BP516" s="364"/>
      <c r="BQ516" s="364"/>
      <c r="BR516" s="364"/>
      <c r="BS516" s="249" t="str">
        <f>AG516 &amp; BO516</f>
        <v>Амортизационные отчисления0</v>
      </c>
      <c r="BT516" s="364"/>
      <c r="BU516" s="364"/>
      <c r="BV516" s="364"/>
      <c r="BW516" s="364"/>
      <c r="BX516" s="364"/>
      <c r="BY516" s="249" t="str">
        <f>AG516&amp;AH516</f>
        <v>Амортизационные отчислениянет</v>
      </c>
      <c r="BZ516" s="250"/>
    </row>
    <row r="517" spans="3:78" ht="14.25">
      <c r="C517" s="97"/>
      <c r="D517" s="367"/>
      <c r="E517" s="370"/>
      <c r="F517" s="406"/>
      <c r="G517" s="376"/>
      <c r="H517" s="379"/>
      <c r="I517" s="382"/>
      <c r="J517" s="382"/>
      <c r="K517" s="385"/>
      <c r="L517" s="388"/>
      <c r="M517" s="391"/>
      <c r="N517" s="394"/>
      <c r="O517" s="397"/>
      <c r="P517" s="400"/>
      <c r="Q517" s="403"/>
      <c r="R517" s="362"/>
      <c r="S517" s="362"/>
      <c r="T517" s="362"/>
      <c r="U517" s="362"/>
      <c r="V517" s="362"/>
      <c r="W517" s="362"/>
      <c r="X517" s="362"/>
      <c r="Y517" s="362"/>
      <c r="Z517" s="362"/>
      <c r="AA517" s="362"/>
      <c r="AB517" s="362"/>
      <c r="AC517" s="362"/>
      <c r="AD517" s="362"/>
      <c r="AE517" s="322" t="s">
        <v>1240</v>
      </c>
      <c r="AF517" s="217" t="s">
        <v>118</v>
      </c>
      <c r="AG517" s="196" t="s">
        <v>223</v>
      </c>
      <c r="AH517" s="302" t="s">
        <v>19</v>
      </c>
      <c r="AI517" s="301" t="s">
        <v>154</v>
      </c>
      <c r="AJ517" s="221"/>
      <c r="AK517" s="221"/>
      <c r="AL517" s="221"/>
      <c r="AM517" s="221"/>
      <c r="AN517" s="221"/>
      <c r="AO517" s="221"/>
      <c r="AP517" s="302" t="s">
        <v>19</v>
      </c>
      <c r="AQ517" s="195">
        <f>SUM(AT517,AW517,AZ517,BC517,BF517,BI517,BL517)</f>
        <v>3681.2008485233819</v>
      </c>
      <c r="AR517" s="197">
        <f>SUM(AT517,AX517,BA517,BD517,BG517,BJ517,BM517)</f>
        <v>0</v>
      </c>
      <c r="AS517" s="195">
        <f>AQ517-AR517</f>
        <v>3681.2008485233819</v>
      </c>
      <c r="AT517" s="315"/>
      <c r="AU517" s="315"/>
      <c r="AV517" s="241"/>
      <c r="AW517" s="198">
        <f>22087.2050911403-AW516</f>
        <v>3681.2008485233819</v>
      </c>
      <c r="AX517" s="313"/>
      <c r="AY517" s="199">
        <f>AW517-AX517</f>
        <v>3681.2008485233819</v>
      </c>
      <c r="AZ517" s="173"/>
      <c r="BA517" s="313"/>
      <c r="BB517" s="199">
        <f>AZ517-BA517</f>
        <v>0</v>
      </c>
      <c r="BC517" s="198"/>
      <c r="BD517" s="313"/>
      <c r="BE517" s="199">
        <f>BC517-BD517</f>
        <v>0</v>
      </c>
      <c r="BF517" s="198"/>
      <c r="BG517" s="241"/>
      <c r="BH517" s="199">
        <f>BF517-BG517</f>
        <v>0</v>
      </c>
      <c r="BI517" s="198"/>
      <c r="BJ517" s="241"/>
      <c r="BK517" s="199">
        <f>BI517-BJ517</f>
        <v>0</v>
      </c>
      <c r="BL517" s="313"/>
      <c r="BM517" s="313"/>
      <c r="BN517" s="195">
        <f>BL517-BM517</f>
        <v>0</v>
      </c>
      <c r="BO517" s="251">
        <v>0</v>
      </c>
      <c r="BP517" s="364"/>
      <c r="BQ517" s="364"/>
      <c r="BR517" s="364"/>
      <c r="BS517" s="249" t="str">
        <f>AG517 &amp; BO517</f>
        <v>Прочие собственные средства0</v>
      </c>
      <c r="BT517" s="364"/>
      <c r="BU517" s="364"/>
      <c r="BV517" s="364"/>
      <c r="BW517" s="364"/>
      <c r="BX517" s="364"/>
      <c r="BY517" s="249" t="str">
        <f>AG517&amp;AH517</f>
        <v>Прочие собственные средстванет</v>
      </c>
      <c r="BZ517" s="250"/>
    </row>
    <row r="518" spans="3:78" ht="15" customHeight="1">
      <c r="C518" s="306"/>
      <c r="D518" s="367"/>
      <c r="E518" s="370"/>
      <c r="F518" s="406"/>
      <c r="G518" s="376"/>
      <c r="H518" s="379"/>
      <c r="I518" s="382"/>
      <c r="J518" s="382"/>
      <c r="K518" s="385"/>
      <c r="L518" s="388"/>
      <c r="M518" s="391"/>
      <c r="N518" s="395"/>
      <c r="O518" s="398"/>
      <c r="P518" s="401"/>
      <c r="Q518" s="404"/>
      <c r="R518" s="363"/>
      <c r="S518" s="363"/>
      <c r="T518" s="363"/>
      <c r="U518" s="363"/>
      <c r="V518" s="363"/>
      <c r="W518" s="363"/>
      <c r="X518" s="363"/>
      <c r="Y518" s="363"/>
      <c r="Z518" s="363"/>
      <c r="AA518" s="363"/>
      <c r="AB518" s="363"/>
      <c r="AC518" s="363"/>
      <c r="AD518" s="363"/>
      <c r="AE518" s="279" t="s">
        <v>379</v>
      </c>
      <c r="AF518" s="203"/>
      <c r="AG518" s="223" t="s">
        <v>24</v>
      </c>
      <c r="AH518" s="223"/>
      <c r="AI518" s="223"/>
      <c r="AJ518" s="223"/>
      <c r="AK518" s="223"/>
      <c r="AL518" s="223"/>
      <c r="AM518" s="223"/>
      <c r="AN518" s="223"/>
      <c r="AO518" s="223"/>
      <c r="AP518" s="168"/>
      <c r="AQ518" s="169"/>
      <c r="AR518" s="169"/>
      <c r="AS518" s="169"/>
      <c r="AT518" s="169"/>
      <c r="AU518" s="169"/>
      <c r="AV518" s="169"/>
      <c r="AW518" s="169"/>
      <c r="AX518" s="169"/>
      <c r="AY518" s="169"/>
      <c r="AZ518" s="169"/>
      <c r="BA518" s="169"/>
      <c r="BB518" s="169"/>
      <c r="BC518" s="169"/>
      <c r="BD518" s="169"/>
      <c r="BE518" s="169"/>
      <c r="BF518" s="169"/>
      <c r="BG518" s="169"/>
      <c r="BH518" s="169"/>
      <c r="BI518" s="169"/>
      <c r="BJ518" s="169"/>
      <c r="BK518" s="169"/>
      <c r="BL518" s="169"/>
      <c r="BM518" s="169"/>
      <c r="BN518" s="170"/>
      <c r="BO518" s="251"/>
      <c r="BP518" s="364"/>
      <c r="BQ518" s="364"/>
      <c r="BR518" s="364"/>
      <c r="BS518" s="250"/>
      <c r="BT518" s="364"/>
      <c r="BU518" s="364"/>
      <c r="BV518" s="364"/>
      <c r="BW518" s="364"/>
      <c r="BX518" s="364"/>
      <c r="BY518" s="250"/>
    </row>
    <row r="519" spans="3:78" ht="15" customHeight="1" thickBot="1">
      <c r="C519" s="307"/>
      <c r="D519" s="368"/>
      <c r="E519" s="371"/>
      <c r="F519" s="407"/>
      <c r="G519" s="377"/>
      <c r="H519" s="380"/>
      <c r="I519" s="383"/>
      <c r="J519" s="383"/>
      <c r="K519" s="386"/>
      <c r="L519" s="389"/>
      <c r="M519" s="392"/>
      <c r="N519" s="280" t="s">
        <v>380</v>
      </c>
      <c r="O519" s="212"/>
      <c r="P519" s="365" t="s">
        <v>154</v>
      </c>
      <c r="Q519" s="365"/>
      <c r="R519" s="171"/>
      <c r="S519" s="171"/>
      <c r="T519" s="166"/>
      <c r="U519" s="166"/>
      <c r="V519" s="166"/>
      <c r="W519" s="166"/>
      <c r="X519" s="166"/>
      <c r="Y519" s="166"/>
      <c r="Z519" s="166"/>
      <c r="AA519" s="166"/>
      <c r="AB519" s="166"/>
      <c r="AC519" s="166"/>
      <c r="AD519" s="166"/>
      <c r="AE519" s="166"/>
      <c r="AF519" s="166"/>
      <c r="AG519" s="166"/>
      <c r="AH519" s="166"/>
      <c r="AI519" s="166"/>
      <c r="AJ519" s="166"/>
      <c r="AK519" s="166"/>
      <c r="AL519" s="166"/>
      <c r="AM519" s="166"/>
      <c r="AN519" s="166"/>
      <c r="AO519" s="166"/>
      <c r="AP519" s="166"/>
      <c r="AQ519" s="166"/>
      <c r="AR519" s="166"/>
      <c r="AS519" s="166"/>
      <c r="AT519" s="166"/>
      <c r="AU519" s="166"/>
      <c r="AV519" s="166"/>
      <c r="AW519" s="166"/>
      <c r="AX519" s="166"/>
      <c r="AY519" s="166"/>
      <c r="AZ519" s="166"/>
      <c r="BA519" s="166"/>
      <c r="BB519" s="166"/>
      <c r="BC519" s="166"/>
      <c r="BD519" s="166"/>
      <c r="BE519" s="166"/>
      <c r="BF519" s="166"/>
      <c r="BG519" s="166"/>
      <c r="BH519" s="166"/>
      <c r="BI519" s="166"/>
      <c r="BJ519" s="166"/>
      <c r="BK519" s="166"/>
      <c r="BL519" s="166"/>
      <c r="BM519" s="166"/>
      <c r="BN519" s="167"/>
      <c r="BO519" s="251"/>
      <c r="BP519" s="250"/>
      <c r="BQ519" s="250"/>
      <c r="BR519" s="250"/>
      <c r="BS519" s="250"/>
      <c r="BT519" s="250"/>
      <c r="BU519" s="250"/>
      <c r="BY519" s="250"/>
    </row>
    <row r="520" spans="3:78" ht="11.25" customHeight="1">
      <c r="C520" s="97" t="s">
        <v>1240</v>
      </c>
      <c r="D520" s="366" t="s">
        <v>1369</v>
      </c>
      <c r="E520" s="369" t="s">
        <v>199</v>
      </c>
      <c r="F520" s="405" t="s">
        <v>209</v>
      </c>
      <c r="G520" s="375" t="s">
        <v>1381</v>
      </c>
      <c r="H520" s="378" t="s">
        <v>715</v>
      </c>
      <c r="I520" s="381" t="s">
        <v>715</v>
      </c>
      <c r="J520" s="381" t="s">
        <v>716</v>
      </c>
      <c r="K520" s="384">
        <v>1</v>
      </c>
      <c r="L520" s="387" t="s">
        <v>3</v>
      </c>
      <c r="M520" s="390">
        <v>0</v>
      </c>
      <c r="N520" s="163"/>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c r="AR520" s="161"/>
      <c r="AS520" s="161"/>
      <c r="AT520" s="161"/>
      <c r="AU520" s="161"/>
      <c r="AV520" s="161"/>
      <c r="AW520" s="161"/>
      <c r="AX520" s="161"/>
      <c r="AY520" s="161"/>
      <c r="AZ520" s="161"/>
      <c r="BA520" s="161"/>
      <c r="BB520" s="161"/>
      <c r="BC520" s="161"/>
      <c r="BD520" s="161"/>
      <c r="BE520" s="161"/>
      <c r="BF520" s="161"/>
      <c r="BG520" s="161"/>
      <c r="BH520" s="161"/>
      <c r="BI520" s="161"/>
      <c r="BJ520" s="161"/>
      <c r="BK520" s="161"/>
      <c r="BL520" s="161"/>
      <c r="BM520" s="161"/>
      <c r="BN520" s="162"/>
      <c r="BO520" s="251"/>
      <c r="BP520" s="250"/>
      <c r="BQ520" s="250"/>
      <c r="BR520" s="250"/>
      <c r="BS520" s="250"/>
      <c r="BT520" s="250"/>
      <c r="BU520" s="250"/>
      <c r="BY520" s="250"/>
    </row>
    <row r="521" spans="3:78" ht="11.25" customHeight="1">
      <c r="C521" s="306"/>
      <c r="D521" s="367"/>
      <c r="E521" s="370"/>
      <c r="F521" s="406"/>
      <c r="G521" s="376"/>
      <c r="H521" s="379"/>
      <c r="I521" s="382"/>
      <c r="J521" s="382"/>
      <c r="K521" s="385"/>
      <c r="L521" s="388"/>
      <c r="M521" s="391"/>
      <c r="N521" s="393"/>
      <c r="O521" s="396">
        <v>1</v>
      </c>
      <c r="P521" s="399" t="s">
        <v>1297</v>
      </c>
      <c r="Q521" s="402"/>
      <c r="R521" s="361" t="s">
        <v>154</v>
      </c>
      <c r="S521" s="361" t="s">
        <v>154</v>
      </c>
      <c r="T521" s="361" t="s">
        <v>154</v>
      </c>
      <c r="U521" s="361" t="s">
        <v>154</v>
      </c>
      <c r="V521" s="361" t="s">
        <v>154</v>
      </c>
      <c r="W521" s="361" t="s">
        <v>154</v>
      </c>
      <c r="X521" s="361" t="s">
        <v>154</v>
      </c>
      <c r="Y521" s="361" t="s">
        <v>154</v>
      </c>
      <c r="Z521" s="361" t="s">
        <v>154</v>
      </c>
      <c r="AA521" s="361" t="s">
        <v>154</v>
      </c>
      <c r="AB521" s="361" t="s">
        <v>154</v>
      </c>
      <c r="AC521" s="361" t="s">
        <v>154</v>
      </c>
      <c r="AD521" s="361" t="s">
        <v>154</v>
      </c>
      <c r="AE521" s="209"/>
      <c r="AF521" s="220">
        <v>0</v>
      </c>
      <c r="AG521" s="219" t="s">
        <v>308</v>
      </c>
      <c r="AH521" s="219"/>
      <c r="AI521" s="219"/>
      <c r="AJ521" s="219"/>
      <c r="AK521" s="219"/>
      <c r="AL521" s="219"/>
      <c r="AM521" s="219"/>
      <c r="AN521" s="219"/>
      <c r="AO521" s="219"/>
      <c r="AP521" s="164"/>
      <c r="AQ521" s="164"/>
      <c r="AR521" s="164"/>
      <c r="AS521" s="164"/>
      <c r="AT521" s="164"/>
      <c r="AU521" s="164"/>
      <c r="AV521" s="164"/>
      <c r="AW521" s="164"/>
      <c r="AX521" s="164"/>
      <c r="AY521" s="164"/>
      <c r="AZ521" s="164"/>
      <c r="BA521" s="164"/>
      <c r="BB521" s="164"/>
      <c r="BC521" s="164"/>
      <c r="BD521" s="164"/>
      <c r="BE521" s="164"/>
      <c r="BF521" s="164"/>
      <c r="BG521" s="164"/>
      <c r="BH521" s="164"/>
      <c r="BI521" s="164"/>
      <c r="BJ521" s="164"/>
      <c r="BK521" s="164"/>
      <c r="BL521" s="164"/>
      <c r="BM521" s="164"/>
      <c r="BN521" s="165"/>
      <c r="BO521" s="251"/>
      <c r="BP521" s="364" t="s">
        <v>1298</v>
      </c>
      <c r="BQ521" s="364" t="s">
        <v>1298</v>
      </c>
      <c r="BR521" s="364" t="s">
        <v>1298</v>
      </c>
      <c r="BS521" s="250"/>
      <c r="BT521" s="364" t="s">
        <v>1298</v>
      </c>
      <c r="BU521" s="364" t="s">
        <v>1298</v>
      </c>
      <c r="BV521" s="364" t="s">
        <v>1298</v>
      </c>
      <c r="BW521" s="364" t="s">
        <v>1298</v>
      </c>
      <c r="BX521" s="364" t="s">
        <v>1298</v>
      </c>
      <c r="BY521" s="250"/>
    </row>
    <row r="522" spans="3:78" ht="14.25">
      <c r="C522" s="306"/>
      <c r="D522" s="367"/>
      <c r="E522" s="370"/>
      <c r="F522" s="406"/>
      <c r="G522" s="376"/>
      <c r="H522" s="379"/>
      <c r="I522" s="382"/>
      <c r="J522" s="382"/>
      <c r="K522" s="385"/>
      <c r="L522" s="388"/>
      <c r="M522" s="391"/>
      <c r="N522" s="394"/>
      <c r="O522" s="397"/>
      <c r="P522" s="400"/>
      <c r="Q522" s="403"/>
      <c r="R522" s="362"/>
      <c r="S522" s="362"/>
      <c r="T522" s="362"/>
      <c r="U522" s="362"/>
      <c r="V522" s="362"/>
      <c r="W522" s="362"/>
      <c r="X522" s="362"/>
      <c r="Y522" s="362"/>
      <c r="Z522" s="362"/>
      <c r="AA522" s="362"/>
      <c r="AB522" s="362"/>
      <c r="AC522" s="362"/>
      <c r="AD522" s="362"/>
      <c r="AE522" s="193"/>
      <c r="AF522" s="217" t="s">
        <v>268</v>
      </c>
      <c r="AG522" s="158" t="s">
        <v>221</v>
      </c>
      <c r="AH522" s="300" t="s">
        <v>19</v>
      </c>
      <c r="AI522" s="301" t="s">
        <v>154</v>
      </c>
      <c r="AJ522" s="221"/>
      <c r="AK522" s="221"/>
      <c r="AL522" s="221"/>
      <c r="AM522" s="221"/>
      <c r="AN522" s="221"/>
      <c r="AO522" s="221"/>
      <c r="AP522" s="302" t="s">
        <v>19</v>
      </c>
      <c r="AQ522" s="195">
        <f>SUM(AT522,AW522,AZ522,BC522,BF522,BI522,BL522)</f>
        <v>44689.709001412586</v>
      </c>
      <c r="AR522" s="197">
        <f>SUM(AT522,AX522,BA522,BD522,BG522,BJ522,BM522)</f>
        <v>0</v>
      </c>
      <c r="AS522" s="195">
        <f>AQ522-AR522</f>
        <v>44689.709001412586</v>
      </c>
      <c r="AT522" s="312"/>
      <c r="AU522" s="312"/>
      <c r="AV522" s="244"/>
      <c r="AW522" s="159">
        <v>44689.709001412586</v>
      </c>
      <c r="AX522" s="312"/>
      <c r="AY522" s="194">
        <f>AW522-AX522</f>
        <v>44689.709001412586</v>
      </c>
      <c r="AZ522" s="160"/>
      <c r="BA522" s="312"/>
      <c r="BB522" s="194">
        <f>AZ522-BA522</f>
        <v>0</v>
      </c>
      <c r="BC522" s="159"/>
      <c r="BD522" s="312"/>
      <c r="BE522" s="194">
        <f>BC522-BD522</f>
        <v>0</v>
      </c>
      <c r="BF522" s="159"/>
      <c r="BG522" s="244"/>
      <c r="BH522" s="194">
        <f>BF522-BG522</f>
        <v>0</v>
      </c>
      <c r="BI522" s="159"/>
      <c r="BJ522" s="244"/>
      <c r="BK522" s="194">
        <f>BI522-BJ522</f>
        <v>0</v>
      </c>
      <c r="BL522" s="312"/>
      <c r="BM522" s="312"/>
      <c r="BN522" s="195">
        <f>BL522-BM522</f>
        <v>0</v>
      </c>
      <c r="BO522" s="251">
        <v>0</v>
      </c>
      <c r="BP522" s="364"/>
      <c r="BQ522" s="364"/>
      <c r="BR522" s="364"/>
      <c r="BS522" s="249" t="str">
        <f>AG522 &amp; BO522</f>
        <v>Амортизационные отчисления0</v>
      </c>
      <c r="BT522" s="364"/>
      <c r="BU522" s="364"/>
      <c r="BV522" s="364"/>
      <c r="BW522" s="364"/>
      <c r="BX522" s="364"/>
      <c r="BY522" s="249" t="str">
        <f>AG522&amp;AH522</f>
        <v>Амортизационные отчислениянет</v>
      </c>
      <c r="BZ522" s="250"/>
    </row>
    <row r="523" spans="3:78" ht="14.25">
      <c r="C523" s="97"/>
      <c r="D523" s="367"/>
      <c r="E523" s="370"/>
      <c r="F523" s="406"/>
      <c r="G523" s="376"/>
      <c r="H523" s="379"/>
      <c r="I523" s="382"/>
      <c r="J523" s="382"/>
      <c r="K523" s="385"/>
      <c r="L523" s="388"/>
      <c r="M523" s="391"/>
      <c r="N523" s="394"/>
      <c r="O523" s="397"/>
      <c r="P523" s="400"/>
      <c r="Q523" s="403"/>
      <c r="R523" s="362"/>
      <c r="S523" s="362"/>
      <c r="T523" s="362"/>
      <c r="U523" s="362"/>
      <c r="V523" s="362"/>
      <c r="W523" s="362"/>
      <c r="X523" s="362"/>
      <c r="Y523" s="362"/>
      <c r="Z523" s="362"/>
      <c r="AA523" s="362"/>
      <c r="AB523" s="362"/>
      <c r="AC523" s="362"/>
      <c r="AD523" s="362"/>
      <c r="AE523" s="322" t="s">
        <v>1240</v>
      </c>
      <c r="AF523" s="217" t="s">
        <v>118</v>
      </c>
      <c r="AG523" s="196" t="s">
        <v>223</v>
      </c>
      <c r="AH523" s="302" t="s">
        <v>19</v>
      </c>
      <c r="AI523" s="301" t="s">
        <v>154</v>
      </c>
      <c r="AJ523" s="221"/>
      <c r="AK523" s="221"/>
      <c r="AL523" s="221"/>
      <c r="AM523" s="221"/>
      <c r="AN523" s="221"/>
      <c r="AO523" s="221"/>
      <c r="AP523" s="302" t="s">
        <v>19</v>
      </c>
      <c r="AQ523" s="195">
        <f>SUM(AT523,AW523,AZ523,BC523,BF523,BI523,BL523)</f>
        <v>8937.9418002825114</v>
      </c>
      <c r="AR523" s="197">
        <f>SUM(AT523,AX523,BA523,BD523,BG523,BJ523,BM523)</f>
        <v>0</v>
      </c>
      <c r="AS523" s="195">
        <f>AQ523-AR523</f>
        <v>8937.9418002825114</v>
      </c>
      <c r="AT523" s="315"/>
      <c r="AU523" s="315"/>
      <c r="AV523" s="241"/>
      <c r="AW523" s="198">
        <f>53627.6508016951-AW522</f>
        <v>8937.9418002825114</v>
      </c>
      <c r="AX523" s="313"/>
      <c r="AY523" s="199">
        <f>AW523-AX523</f>
        <v>8937.9418002825114</v>
      </c>
      <c r="AZ523" s="173"/>
      <c r="BA523" s="313"/>
      <c r="BB523" s="199">
        <f>AZ523-BA523</f>
        <v>0</v>
      </c>
      <c r="BC523" s="198"/>
      <c r="BD523" s="313"/>
      <c r="BE523" s="199">
        <f>BC523-BD523</f>
        <v>0</v>
      </c>
      <c r="BF523" s="198"/>
      <c r="BG523" s="241"/>
      <c r="BH523" s="199">
        <f>BF523-BG523</f>
        <v>0</v>
      </c>
      <c r="BI523" s="198"/>
      <c r="BJ523" s="241"/>
      <c r="BK523" s="199">
        <f>BI523-BJ523</f>
        <v>0</v>
      </c>
      <c r="BL523" s="313"/>
      <c r="BM523" s="313"/>
      <c r="BN523" s="195">
        <f>BL523-BM523</f>
        <v>0</v>
      </c>
      <c r="BO523" s="251">
        <v>0</v>
      </c>
      <c r="BP523" s="364"/>
      <c r="BQ523" s="364"/>
      <c r="BR523" s="364"/>
      <c r="BS523" s="249" t="str">
        <f>AG523 &amp; BO523</f>
        <v>Прочие собственные средства0</v>
      </c>
      <c r="BT523" s="364"/>
      <c r="BU523" s="364"/>
      <c r="BV523" s="364"/>
      <c r="BW523" s="364"/>
      <c r="BX523" s="364"/>
      <c r="BY523" s="249" t="str">
        <f>AG523&amp;AH523</f>
        <v>Прочие собственные средстванет</v>
      </c>
      <c r="BZ523" s="250"/>
    </row>
    <row r="524" spans="3:78" ht="15" customHeight="1">
      <c r="C524" s="306"/>
      <c r="D524" s="367"/>
      <c r="E524" s="370"/>
      <c r="F524" s="406"/>
      <c r="G524" s="376"/>
      <c r="H524" s="379"/>
      <c r="I524" s="382"/>
      <c r="J524" s="382"/>
      <c r="K524" s="385"/>
      <c r="L524" s="388"/>
      <c r="M524" s="391"/>
      <c r="N524" s="395"/>
      <c r="O524" s="398"/>
      <c r="P524" s="401"/>
      <c r="Q524" s="404"/>
      <c r="R524" s="363"/>
      <c r="S524" s="363"/>
      <c r="T524" s="363"/>
      <c r="U524" s="363"/>
      <c r="V524" s="363"/>
      <c r="W524" s="363"/>
      <c r="X524" s="363"/>
      <c r="Y524" s="363"/>
      <c r="Z524" s="363"/>
      <c r="AA524" s="363"/>
      <c r="AB524" s="363"/>
      <c r="AC524" s="363"/>
      <c r="AD524" s="363"/>
      <c r="AE524" s="279" t="s">
        <v>379</v>
      </c>
      <c r="AF524" s="203"/>
      <c r="AG524" s="223" t="s">
        <v>24</v>
      </c>
      <c r="AH524" s="223"/>
      <c r="AI524" s="223"/>
      <c r="AJ524" s="223"/>
      <c r="AK524" s="223"/>
      <c r="AL524" s="223"/>
      <c r="AM524" s="223"/>
      <c r="AN524" s="223"/>
      <c r="AO524" s="223"/>
      <c r="AP524" s="168"/>
      <c r="AQ524" s="169"/>
      <c r="AR524" s="169"/>
      <c r="AS524" s="169"/>
      <c r="AT524" s="169"/>
      <c r="AU524" s="169"/>
      <c r="AV524" s="169"/>
      <c r="AW524" s="169"/>
      <c r="AX524" s="169"/>
      <c r="AY524" s="169"/>
      <c r="AZ524" s="169"/>
      <c r="BA524" s="169"/>
      <c r="BB524" s="169"/>
      <c r="BC524" s="169"/>
      <c r="BD524" s="169"/>
      <c r="BE524" s="169"/>
      <c r="BF524" s="169"/>
      <c r="BG524" s="169"/>
      <c r="BH524" s="169"/>
      <c r="BI524" s="169"/>
      <c r="BJ524" s="169"/>
      <c r="BK524" s="169"/>
      <c r="BL524" s="169"/>
      <c r="BM524" s="169"/>
      <c r="BN524" s="170"/>
      <c r="BO524" s="251"/>
      <c r="BP524" s="364"/>
      <c r="BQ524" s="364"/>
      <c r="BR524" s="364"/>
      <c r="BS524" s="250"/>
      <c r="BT524" s="364"/>
      <c r="BU524" s="364"/>
      <c r="BV524" s="364"/>
      <c r="BW524" s="364"/>
      <c r="BX524" s="364"/>
      <c r="BY524" s="250"/>
    </row>
    <row r="525" spans="3:78" ht="15" customHeight="1" thickBot="1">
      <c r="C525" s="307"/>
      <c r="D525" s="368"/>
      <c r="E525" s="371"/>
      <c r="F525" s="407"/>
      <c r="G525" s="377"/>
      <c r="H525" s="380"/>
      <c r="I525" s="383"/>
      <c r="J525" s="383"/>
      <c r="K525" s="386"/>
      <c r="L525" s="389"/>
      <c r="M525" s="392"/>
      <c r="N525" s="280" t="s">
        <v>380</v>
      </c>
      <c r="O525" s="212"/>
      <c r="P525" s="365" t="s">
        <v>154</v>
      </c>
      <c r="Q525" s="365"/>
      <c r="R525" s="171"/>
      <c r="S525" s="171"/>
      <c r="T525" s="166"/>
      <c r="U525" s="166"/>
      <c r="V525" s="166"/>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6"/>
      <c r="AR525" s="166"/>
      <c r="AS525" s="166"/>
      <c r="AT525" s="166"/>
      <c r="AU525" s="166"/>
      <c r="AV525" s="166"/>
      <c r="AW525" s="166"/>
      <c r="AX525" s="166"/>
      <c r="AY525" s="166"/>
      <c r="AZ525" s="166"/>
      <c r="BA525" s="166"/>
      <c r="BB525" s="166"/>
      <c r="BC525" s="166"/>
      <c r="BD525" s="166"/>
      <c r="BE525" s="166"/>
      <c r="BF525" s="166"/>
      <c r="BG525" s="166"/>
      <c r="BH525" s="166"/>
      <c r="BI525" s="166"/>
      <c r="BJ525" s="166"/>
      <c r="BK525" s="166"/>
      <c r="BL525" s="166"/>
      <c r="BM525" s="166"/>
      <c r="BN525" s="167"/>
      <c r="BO525" s="251"/>
      <c r="BP525" s="250"/>
      <c r="BQ525" s="250"/>
      <c r="BR525" s="250"/>
      <c r="BS525" s="250"/>
      <c r="BT525" s="250"/>
      <c r="BU525" s="250"/>
      <c r="BY525" s="250"/>
    </row>
    <row r="526" spans="3:78" ht="11.25" customHeight="1">
      <c r="C526" s="97" t="s">
        <v>1240</v>
      </c>
      <c r="D526" s="366" t="s">
        <v>1370</v>
      </c>
      <c r="E526" s="369" t="s">
        <v>199</v>
      </c>
      <c r="F526" s="405" t="s">
        <v>209</v>
      </c>
      <c r="G526" s="375" t="s">
        <v>1382</v>
      </c>
      <c r="H526" s="378" t="s">
        <v>715</v>
      </c>
      <c r="I526" s="381" t="s">
        <v>715</v>
      </c>
      <c r="J526" s="381" t="s">
        <v>716</v>
      </c>
      <c r="K526" s="384">
        <v>1</v>
      </c>
      <c r="L526" s="387" t="s">
        <v>3</v>
      </c>
      <c r="M526" s="390">
        <v>0</v>
      </c>
      <c r="N526" s="163"/>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1"/>
      <c r="AL526" s="161"/>
      <c r="AM526" s="161"/>
      <c r="AN526" s="161"/>
      <c r="AO526" s="161"/>
      <c r="AP526" s="161"/>
      <c r="AQ526" s="161"/>
      <c r="AR526" s="161"/>
      <c r="AS526" s="161"/>
      <c r="AT526" s="161"/>
      <c r="AU526" s="161"/>
      <c r="AV526" s="161"/>
      <c r="AW526" s="161"/>
      <c r="AX526" s="161"/>
      <c r="AY526" s="161"/>
      <c r="AZ526" s="161"/>
      <c r="BA526" s="161"/>
      <c r="BB526" s="161"/>
      <c r="BC526" s="161"/>
      <c r="BD526" s="161"/>
      <c r="BE526" s="161"/>
      <c r="BF526" s="161"/>
      <c r="BG526" s="161"/>
      <c r="BH526" s="161"/>
      <c r="BI526" s="161"/>
      <c r="BJ526" s="161"/>
      <c r="BK526" s="161"/>
      <c r="BL526" s="161"/>
      <c r="BM526" s="161"/>
      <c r="BN526" s="162"/>
      <c r="BO526" s="251"/>
      <c r="BP526" s="250"/>
      <c r="BQ526" s="250"/>
      <c r="BR526" s="250"/>
      <c r="BS526" s="250"/>
      <c r="BT526" s="250"/>
      <c r="BU526" s="250"/>
      <c r="BY526" s="250"/>
    </row>
    <row r="527" spans="3:78" ht="11.25" customHeight="1">
      <c r="C527" s="306"/>
      <c r="D527" s="367"/>
      <c r="E527" s="370"/>
      <c r="F527" s="406"/>
      <c r="G527" s="376"/>
      <c r="H527" s="379"/>
      <c r="I527" s="382"/>
      <c r="J527" s="382"/>
      <c r="K527" s="385"/>
      <c r="L527" s="388"/>
      <c r="M527" s="391"/>
      <c r="N527" s="393"/>
      <c r="O527" s="396">
        <v>1</v>
      </c>
      <c r="P527" s="399" t="s">
        <v>1297</v>
      </c>
      <c r="Q527" s="402"/>
      <c r="R527" s="361" t="s">
        <v>154</v>
      </c>
      <c r="S527" s="361" t="s">
        <v>154</v>
      </c>
      <c r="T527" s="361" t="s">
        <v>154</v>
      </c>
      <c r="U527" s="361" t="s">
        <v>154</v>
      </c>
      <c r="V527" s="361" t="s">
        <v>154</v>
      </c>
      <c r="W527" s="361" t="s">
        <v>154</v>
      </c>
      <c r="X527" s="361" t="s">
        <v>154</v>
      </c>
      <c r="Y527" s="361" t="s">
        <v>154</v>
      </c>
      <c r="Z527" s="361" t="s">
        <v>154</v>
      </c>
      <c r="AA527" s="361" t="s">
        <v>154</v>
      </c>
      <c r="AB527" s="361" t="s">
        <v>154</v>
      </c>
      <c r="AC527" s="361" t="s">
        <v>154</v>
      </c>
      <c r="AD527" s="361" t="s">
        <v>154</v>
      </c>
      <c r="AE527" s="209"/>
      <c r="AF527" s="220">
        <v>0</v>
      </c>
      <c r="AG527" s="219" t="s">
        <v>308</v>
      </c>
      <c r="AH527" s="219"/>
      <c r="AI527" s="219"/>
      <c r="AJ527" s="219"/>
      <c r="AK527" s="219"/>
      <c r="AL527" s="219"/>
      <c r="AM527" s="219"/>
      <c r="AN527" s="219"/>
      <c r="AO527" s="219"/>
      <c r="AP527" s="164"/>
      <c r="AQ527" s="164"/>
      <c r="AR527" s="164"/>
      <c r="AS527" s="164"/>
      <c r="AT527" s="164"/>
      <c r="AU527" s="164"/>
      <c r="AV527" s="164"/>
      <c r="AW527" s="164"/>
      <c r="AX527" s="164"/>
      <c r="AY527" s="164"/>
      <c r="AZ527" s="164"/>
      <c r="BA527" s="164"/>
      <c r="BB527" s="164"/>
      <c r="BC527" s="164"/>
      <c r="BD527" s="164"/>
      <c r="BE527" s="164"/>
      <c r="BF527" s="164"/>
      <c r="BG527" s="164"/>
      <c r="BH527" s="164"/>
      <c r="BI527" s="164"/>
      <c r="BJ527" s="164"/>
      <c r="BK527" s="164"/>
      <c r="BL527" s="164"/>
      <c r="BM527" s="164"/>
      <c r="BN527" s="165"/>
      <c r="BO527" s="251"/>
      <c r="BP527" s="364" t="s">
        <v>1298</v>
      </c>
      <c r="BQ527" s="364" t="s">
        <v>1298</v>
      </c>
      <c r="BR527" s="364" t="s">
        <v>1298</v>
      </c>
      <c r="BS527" s="250"/>
      <c r="BT527" s="364" t="s">
        <v>1298</v>
      </c>
      <c r="BU527" s="364" t="s">
        <v>1298</v>
      </c>
      <c r="BV527" s="364" t="s">
        <v>1298</v>
      </c>
      <c r="BW527" s="364" t="s">
        <v>1298</v>
      </c>
      <c r="BX527" s="364" t="s">
        <v>1298</v>
      </c>
      <c r="BY527" s="250"/>
    </row>
    <row r="528" spans="3:78" ht="14.25">
      <c r="C528" s="306"/>
      <c r="D528" s="367"/>
      <c r="E528" s="370"/>
      <c r="F528" s="406"/>
      <c r="G528" s="376"/>
      <c r="H528" s="379"/>
      <c r="I528" s="382"/>
      <c r="J528" s="382"/>
      <c r="K528" s="385"/>
      <c r="L528" s="388"/>
      <c r="M528" s="391"/>
      <c r="N528" s="394"/>
      <c r="O528" s="397"/>
      <c r="P528" s="400"/>
      <c r="Q528" s="403"/>
      <c r="R528" s="362"/>
      <c r="S528" s="362"/>
      <c r="T528" s="362"/>
      <c r="U528" s="362"/>
      <c r="V528" s="362"/>
      <c r="W528" s="362"/>
      <c r="X528" s="362"/>
      <c r="Y528" s="362"/>
      <c r="Z528" s="362"/>
      <c r="AA528" s="362"/>
      <c r="AB528" s="362"/>
      <c r="AC528" s="362"/>
      <c r="AD528" s="362"/>
      <c r="AE528" s="193"/>
      <c r="AF528" s="217" t="s">
        <v>268</v>
      </c>
      <c r="AG528" s="158" t="s">
        <v>221</v>
      </c>
      <c r="AH528" s="300" t="s">
        <v>19</v>
      </c>
      <c r="AI528" s="301" t="s">
        <v>154</v>
      </c>
      <c r="AJ528" s="221"/>
      <c r="AK528" s="221"/>
      <c r="AL528" s="221"/>
      <c r="AM528" s="221"/>
      <c r="AN528" s="221"/>
      <c r="AO528" s="221"/>
      <c r="AP528" s="302" t="s">
        <v>19</v>
      </c>
      <c r="AQ528" s="195">
        <f>SUM(AT528,AW528,AZ528,BC528,BF528,BI528,BL528)</f>
        <v>67758.738589077169</v>
      </c>
      <c r="AR528" s="197">
        <f>SUM(AT528,AX528,BA528,BD528,BG528,BJ528,BM528)</f>
        <v>0</v>
      </c>
      <c r="AS528" s="195">
        <f>AQ528-AR528</f>
        <v>67758.738589077169</v>
      </c>
      <c r="AT528" s="312"/>
      <c r="AU528" s="312"/>
      <c r="AV528" s="244"/>
      <c r="AW528" s="159">
        <v>67758.738589077169</v>
      </c>
      <c r="AX528" s="312"/>
      <c r="AY528" s="194">
        <f>AW528-AX528</f>
        <v>67758.738589077169</v>
      </c>
      <c r="AZ528" s="160"/>
      <c r="BA528" s="312"/>
      <c r="BB528" s="194">
        <f>AZ528-BA528</f>
        <v>0</v>
      </c>
      <c r="BC528" s="159"/>
      <c r="BD528" s="312"/>
      <c r="BE528" s="194">
        <f>BC528-BD528</f>
        <v>0</v>
      </c>
      <c r="BF528" s="159"/>
      <c r="BG528" s="244"/>
      <c r="BH528" s="194">
        <f>BF528-BG528</f>
        <v>0</v>
      </c>
      <c r="BI528" s="159"/>
      <c r="BJ528" s="244"/>
      <c r="BK528" s="194">
        <f>BI528-BJ528</f>
        <v>0</v>
      </c>
      <c r="BL528" s="312"/>
      <c r="BM528" s="312"/>
      <c r="BN528" s="195">
        <f>BL528-BM528</f>
        <v>0</v>
      </c>
      <c r="BO528" s="251">
        <v>0</v>
      </c>
      <c r="BP528" s="364"/>
      <c r="BQ528" s="364"/>
      <c r="BR528" s="364"/>
      <c r="BS528" s="249" t="str">
        <f>AG528 &amp; BO528</f>
        <v>Амортизационные отчисления0</v>
      </c>
      <c r="BT528" s="364"/>
      <c r="BU528" s="364"/>
      <c r="BV528" s="364"/>
      <c r="BW528" s="364"/>
      <c r="BX528" s="364"/>
      <c r="BY528" s="249" t="str">
        <f>AG528&amp;AH528</f>
        <v>Амортизационные отчислениянет</v>
      </c>
      <c r="BZ528" s="250"/>
    </row>
    <row r="529" spans="3:78" ht="14.25">
      <c r="C529" s="97"/>
      <c r="D529" s="367"/>
      <c r="E529" s="370"/>
      <c r="F529" s="406"/>
      <c r="G529" s="376"/>
      <c r="H529" s="379"/>
      <c r="I529" s="382"/>
      <c r="J529" s="382"/>
      <c r="K529" s="385"/>
      <c r="L529" s="388"/>
      <c r="M529" s="391"/>
      <c r="N529" s="394"/>
      <c r="O529" s="397"/>
      <c r="P529" s="400"/>
      <c r="Q529" s="403"/>
      <c r="R529" s="362"/>
      <c r="S529" s="362"/>
      <c r="T529" s="362"/>
      <c r="U529" s="362"/>
      <c r="V529" s="362"/>
      <c r="W529" s="362"/>
      <c r="X529" s="362"/>
      <c r="Y529" s="362"/>
      <c r="Z529" s="362"/>
      <c r="AA529" s="362"/>
      <c r="AB529" s="362"/>
      <c r="AC529" s="362"/>
      <c r="AD529" s="362"/>
      <c r="AE529" s="322" t="s">
        <v>1240</v>
      </c>
      <c r="AF529" s="217" t="s">
        <v>118</v>
      </c>
      <c r="AG529" s="196" t="s">
        <v>223</v>
      </c>
      <c r="AH529" s="302" t="s">
        <v>19</v>
      </c>
      <c r="AI529" s="301" t="s">
        <v>154</v>
      </c>
      <c r="AJ529" s="221"/>
      <c r="AK529" s="221"/>
      <c r="AL529" s="221"/>
      <c r="AM529" s="221"/>
      <c r="AN529" s="221"/>
      <c r="AO529" s="221"/>
      <c r="AP529" s="302" t="s">
        <v>19</v>
      </c>
      <c r="AQ529" s="195">
        <f>SUM(AT529,AW529,AZ529,BC529,BF529,BI529,BL529)</f>
        <v>13551.747717815437</v>
      </c>
      <c r="AR529" s="197">
        <f>SUM(AT529,AX529,BA529,BD529,BG529,BJ529,BM529)</f>
        <v>0</v>
      </c>
      <c r="AS529" s="195">
        <f>AQ529-AR529</f>
        <v>13551.747717815437</v>
      </c>
      <c r="AT529" s="315"/>
      <c r="AU529" s="315"/>
      <c r="AV529" s="241"/>
      <c r="AW529" s="198">
        <f>81310.4863068926-AW528</f>
        <v>13551.747717815437</v>
      </c>
      <c r="AX529" s="313"/>
      <c r="AY529" s="199">
        <f>AW529-AX529</f>
        <v>13551.747717815437</v>
      </c>
      <c r="AZ529" s="173"/>
      <c r="BA529" s="313"/>
      <c r="BB529" s="199">
        <f>AZ529-BA529</f>
        <v>0</v>
      </c>
      <c r="BC529" s="198"/>
      <c r="BD529" s="313"/>
      <c r="BE529" s="199">
        <f>BC529-BD529</f>
        <v>0</v>
      </c>
      <c r="BF529" s="198"/>
      <c r="BG529" s="241"/>
      <c r="BH529" s="199">
        <f>BF529-BG529</f>
        <v>0</v>
      </c>
      <c r="BI529" s="198"/>
      <c r="BJ529" s="241"/>
      <c r="BK529" s="199">
        <f>BI529-BJ529</f>
        <v>0</v>
      </c>
      <c r="BL529" s="313"/>
      <c r="BM529" s="313"/>
      <c r="BN529" s="195">
        <f>BL529-BM529</f>
        <v>0</v>
      </c>
      <c r="BO529" s="251">
        <v>0</v>
      </c>
      <c r="BP529" s="364"/>
      <c r="BQ529" s="364"/>
      <c r="BR529" s="364"/>
      <c r="BS529" s="249" t="str">
        <f>AG529 &amp; BO529</f>
        <v>Прочие собственные средства0</v>
      </c>
      <c r="BT529" s="364"/>
      <c r="BU529" s="364"/>
      <c r="BV529" s="364"/>
      <c r="BW529" s="364"/>
      <c r="BX529" s="364"/>
      <c r="BY529" s="249" t="str">
        <f>AG529&amp;AH529</f>
        <v>Прочие собственные средстванет</v>
      </c>
      <c r="BZ529" s="250"/>
    </row>
    <row r="530" spans="3:78" ht="15" customHeight="1">
      <c r="C530" s="306"/>
      <c r="D530" s="367"/>
      <c r="E530" s="370"/>
      <c r="F530" s="406"/>
      <c r="G530" s="376"/>
      <c r="H530" s="379"/>
      <c r="I530" s="382"/>
      <c r="J530" s="382"/>
      <c r="K530" s="385"/>
      <c r="L530" s="388"/>
      <c r="M530" s="391"/>
      <c r="N530" s="395"/>
      <c r="O530" s="398"/>
      <c r="P530" s="401"/>
      <c r="Q530" s="404"/>
      <c r="R530" s="363"/>
      <c r="S530" s="363"/>
      <c r="T530" s="363"/>
      <c r="U530" s="363"/>
      <c r="V530" s="363"/>
      <c r="W530" s="363"/>
      <c r="X530" s="363"/>
      <c r="Y530" s="363"/>
      <c r="Z530" s="363"/>
      <c r="AA530" s="363"/>
      <c r="AB530" s="363"/>
      <c r="AC530" s="363"/>
      <c r="AD530" s="363"/>
      <c r="AE530" s="279" t="s">
        <v>379</v>
      </c>
      <c r="AF530" s="203"/>
      <c r="AG530" s="223" t="s">
        <v>24</v>
      </c>
      <c r="AH530" s="223"/>
      <c r="AI530" s="223"/>
      <c r="AJ530" s="223"/>
      <c r="AK530" s="223"/>
      <c r="AL530" s="223"/>
      <c r="AM530" s="223"/>
      <c r="AN530" s="223"/>
      <c r="AO530" s="223"/>
      <c r="AP530" s="168"/>
      <c r="AQ530" s="169"/>
      <c r="AR530" s="169"/>
      <c r="AS530" s="169"/>
      <c r="AT530" s="169"/>
      <c r="AU530" s="169"/>
      <c r="AV530" s="169"/>
      <c r="AW530" s="169"/>
      <c r="AX530" s="169"/>
      <c r="AY530" s="169"/>
      <c r="AZ530" s="169"/>
      <c r="BA530" s="169"/>
      <c r="BB530" s="169"/>
      <c r="BC530" s="169"/>
      <c r="BD530" s="169"/>
      <c r="BE530" s="169"/>
      <c r="BF530" s="169"/>
      <c r="BG530" s="169"/>
      <c r="BH530" s="169"/>
      <c r="BI530" s="169"/>
      <c r="BJ530" s="169"/>
      <c r="BK530" s="169"/>
      <c r="BL530" s="169"/>
      <c r="BM530" s="169"/>
      <c r="BN530" s="170"/>
      <c r="BO530" s="251"/>
      <c r="BP530" s="364"/>
      <c r="BQ530" s="364"/>
      <c r="BR530" s="364"/>
      <c r="BS530" s="250"/>
      <c r="BT530" s="364"/>
      <c r="BU530" s="364"/>
      <c r="BV530" s="364"/>
      <c r="BW530" s="364"/>
      <c r="BX530" s="364"/>
      <c r="BY530" s="250"/>
    </row>
    <row r="531" spans="3:78" ht="15" customHeight="1" thickBot="1">
      <c r="C531" s="307"/>
      <c r="D531" s="368"/>
      <c r="E531" s="371"/>
      <c r="F531" s="407"/>
      <c r="G531" s="377"/>
      <c r="H531" s="380"/>
      <c r="I531" s="383"/>
      <c r="J531" s="383"/>
      <c r="K531" s="386"/>
      <c r="L531" s="389"/>
      <c r="M531" s="392"/>
      <c r="N531" s="280" t="s">
        <v>380</v>
      </c>
      <c r="O531" s="212"/>
      <c r="P531" s="365" t="s">
        <v>154</v>
      </c>
      <c r="Q531" s="365"/>
      <c r="R531" s="171"/>
      <c r="S531" s="171"/>
      <c r="T531" s="166"/>
      <c r="U531" s="166"/>
      <c r="V531" s="166"/>
      <c r="W531" s="166"/>
      <c r="X531" s="166"/>
      <c r="Y531" s="166"/>
      <c r="Z531" s="166"/>
      <c r="AA531" s="166"/>
      <c r="AB531" s="166"/>
      <c r="AC531" s="166"/>
      <c r="AD531" s="166"/>
      <c r="AE531" s="166"/>
      <c r="AF531" s="166"/>
      <c r="AG531" s="166"/>
      <c r="AH531" s="166"/>
      <c r="AI531" s="166"/>
      <c r="AJ531" s="166"/>
      <c r="AK531" s="166"/>
      <c r="AL531" s="166"/>
      <c r="AM531" s="166"/>
      <c r="AN531" s="166"/>
      <c r="AO531" s="166"/>
      <c r="AP531" s="166"/>
      <c r="AQ531" s="166"/>
      <c r="AR531" s="166"/>
      <c r="AS531" s="166"/>
      <c r="AT531" s="166"/>
      <c r="AU531" s="166"/>
      <c r="AV531" s="166"/>
      <c r="AW531" s="166"/>
      <c r="AX531" s="166"/>
      <c r="AY531" s="166"/>
      <c r="AZ531" s="166"/>
      <c r="BA531" s="166"/>
      <c r="BB531" s="166"/>
      <c r="BC531" s="166"/>
      <c r="BD531" s="166"/>
      <c r="BE531" s="166"/>
      <c r="BF531" s="166"/>
      <c r="BG531" s="166"/>
      <c r="BH531" s="166"/>
      <c r="BI531" s="166"/>
      <c r="BJ531" s="166"/>
      <c r="BK531" s="166"/>
      <c r="BL531" s="166"/>
      <c r="BM531" s="166"/>
      <c r="BN531" s="167"/>
      <c r="BO531" s="251"/>
      <c r="BP531" s="250"/>
      <c r="BQ531" s="250"/>
      <c r="BR531" s="250"/>
      <c r="BS531" s="250"/>
      <c r="BT531" s="250"/>
      <c r="BU531" s="250"/>
      <c r="BY531" s="250"/>
    </row>
    <row r="532" spans="3:78" ht="11.25" customHeight="1">
      <c r="C532" s="97" t="s">
        <v>1240</v>
      </c>
      <c r="D532" s="366" t="s">
        <v>1371</v>
      </c>
      <c r="E532" s="369" t="s">
        <v>199</v>
      </c>
      <c r="F532" s="405" t="s">
        <v>209</v>
      </c>
      <c r="G532" s="375" t="s">
        <v>1383</v>
      </c>
      <c r="H532" s="378" t="s">
        <v>715</v>
      </c>
      <c r="I532" s="381" t="s">
        <v>715</v>
      </c>
      <c r="J532" s="381" t="s">
        <v>716</v>
      </c>
      <c r="K532" s="384">
        <v>1</v>
      </c>
      <c r="L532" s="387" t="s">
        <v>4</v>
      </c>
      <c r="M532" s="390">
        <v>0</v>
      </c>
      <c r="N532" s="163"/>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1"/>
      <c r="AL532" s="161"/>
      <c r="AM532" s="161"/>
      <c r="AN532" s="161"/>
      <c r="AO532" s="161"/>
      <c r="AP532" s="161"/>
      <c r="AQ532" s="161"/>
      <c r="AR532" s="161"/>
      <c r="AS532" s="161"/>
      <c r="AT532" s="161"/>
      <c r="AU532" s="161"/>
      <c r="AV532" s="161"/>
      <c r="AW532" s="161"/>
      <c r="AX532" s="161"/>
      <c r="AY532" s="161"/>
      <c r="AZ532" s="161"/>
      <c r="BA532" s="161"/>
      <c r="BB532" s="161"/>
      <c r="BC532" s="161"/>
      <c r="BD532" s="161"/>
      <c r="BE532" s="161"/>
      <c r="BF532" s="161"/>
      <c r="BG532" s="161"/>
      <c r="BH532" s="161"/>
      <c r="BI532" s="161"/>
      <c r="BJ532" s="161"/>
      <c r="BK532" s="161"/>
      <c r="BL532" s="161"/>
      <c r="BM532" s="161"/>
      <c r="BN532" s="162"/>
      <c r="BO532" s="251"/>
      <c r="BP532" s="250"/>
      <c r="BQ532" s="250"/>
      <c r="BR532" s="250"/>
      <c r="BS532" s="250"/>
      <c r="BT532" s="250"/>
      <c r="BU532" s="250"/>
      <c r="BY532" s="250"/>
    </row>
    <row r="533" spans="3:78" ht="11.25" customHeight="1">
      <c r="C533" s="306"/>
      <c r="D533" s="367"/>
      <c r="E533" s="370"/>
      <c r="F533" s="406"/>
      <c r="G533" s="376"/>
      <c r="H533" s="379"/>
      <c r="I533" s="382"/>
      <c r="J533" s="382"/>
      <c r="K533" s="385"/>
      <c r="L533" s="388"/>
      <c r="M533" s="391"/>
      <c r="N533" s="393"/>
      <c r="O533" s="396">
        <v>1</v>
      </c>
      <c r="P533" s="399" t="s">
        <v>1297</v>
      </c>
      <c r="Q533" s="402"/>
      <c r="R533" s="361" t="s">
        <v>154</v>
      </c>
      <c r="S533" s="361" t="s">
        <v>154</v>
      </c>
      <c r="T533" s="361" t="s">
        <v>154</v>
      </c>
      <c r="U533" s="361" t="s">
        <v>154</v>
      </c>
      <c r="V533" s="361" t="s">
        <v>154</v>
      </c>
      <c r="W533" s="361" t="s">
        <v>154</v>
      </c>
      <c r="X533" s="361" t="s">
        <v>154</v>
      </c>
      <c r="Y533" s="361" t="s">
        <v>154</v>
      </c>
      <c r="Z533" s="361" t="s">
        <v>154</v>
      </c>
      <c r="AA533" s="361" t="s">
        <v>154</v>
      </c>
      <c r="AB533" s="361" t="s">
        <v>154</v>
      </c>
      <c r="AC533" s="361" t="s">
        <v>154</v>
      </c>
      <c r="AD533" s="361" t="s">
        <v>154</v>
      </c>
      <c r="AE533" s="209"/>
      <c r="AF533" s="220">
        <v>0</v>
      </c>
      <c r="AG533" s="219" t="s">
        <v>308</v>
      </c>
      <c r="AH533" s="219"/>
      <c r="AI533" s="219"/>
      <c r="AJ533" s="219"/>
      <c r="AK533" s="219"/>
      <c r="AL533" s="219"/>
      <c r="AM533" s="219"/>
      <c r="AN533" s="219"/>
      <c r="AO533" s="219"/>
      <c r="AP533" s="164"/>
      <c r="AQ533" s="164"/>
      <c r="AR533" s="164"/>
      <c r="AS533" s="164"/>
      <c r="AT533" s="164"/>
      <c r="AU533" s="164"/>
      <c r="AV533" s="164"/>
      <c r="AW533" s="164"/>
      <c r="AX533" s="164"/>
      <c r="AY533" s="164"/>
      <c r="AZ533" s="164"/>
      <c r="BA533" s="164"/>
      <c r="BB533" s="164"/>
      <c r="BC533" s="164"/>
      <c r="BD533" s="164"/>
      <c r="BE533" s="164"/>
      <c r="BF533" s="164"/>
      <c r="BG533" s="164"/>
      <c r="BH533" s="164"/>
      <c r="BI533" s="164"/>
      <c r="BJ533" s="164"/>
      <c r="BK533" s="164"/>
      <c r="BL533" s="164"/>
      <c r="BM533" s="164"/>
      <c r="BN533" s="165"/>
      <c r="BO533" s="251"/>
      <c r="BP533" s="364" t="s">
        <v>1298</v>
      </c>
      <c r="BQ533" s="364" t="s">
        <v>1298</v>
      </c>
      <c r="BR533" s="364" t="s">
        <v>1298</v>
      </c>
      <c r="BS533" s="250"/>
      <c r="BT533" s="364" t="s">
        <v>1298</v>
      </c>
      <c r="BU533" s="364" t="s">
        <v>1298</v>
      </c>
      <c r="BV533" s="364" t="s">
        <v>1298</v>
      </c>
      <c r="BW533" s="364" t="s">
        <v>1298</v>
      </c>
      <c r="BX533" s="364" t="s">
        <v>1298</v>
      </c>
      <c r="BY533" s="250"/>
    </row>
    <row r="534" spans="3:78" ht="14.25">
      <c r="C534" s="306"/>
      <c r="D534" s="367"/>
      <c r="E534" s="370"/>
      <c r="F534" s="406"/>
      <c r="G534" s="376"/>
      <c r="H534" s="379"/>
      <c r="I534" s="382"/>
      <c r="J534" s="382"/>
      <c r="K534" s="385"/>
      <c r="L534" s="388"/>
      <c r="M534" s="391"/>
      <c r="N534" s="394"/>
      <c r="O534" s="397"/>
      <c r="P534" s="400"/>
      <c r="Q534" s="403"/>
      <c r="R534" s="362"/>
      <c r="S534" s="362"/>
      <c r="T534" s="362"/>
      <c r="U534" s="362"/>
      <c r="V534" s="362"/>
      <c r="W534" s="362"/>
      <c r="X534" s="362"/>
      <c r="Y534" s="362"/>
      <c r="Z534" s="362"/>
      <c r="AA534" s="362"/>
      <c r="AB534" s="362"/>
      <c r="AC534" s="362"/>
      <c r="AD534" s="362"/>
      <c r="AE534" s="193"/>
      <c r="AF534" s="217" t="s">
        <v>268</v>
      </c>
      <c r="AG534" s="158" t="s">
        <v>221</v>
      </c>
      <c r="AH534" s="300" t="s">
        <v>19</v>
      </c>
      <c r="AI534" s="301" t="s">
        <v>154</v>
      </c>
      <c r="AJ534" s="221"/>
      <c r="AK534" s="221"/>
      <c r="AL534" s="221"/>
      <c r="AM534" s="221"/>
      <c r="AN534" s="221"/>
      <c r="AO534" s="221"/>
      <c r="AP534" s="302" t="s">
        <v>19</v>
      </c>
      <c r="AQ534" s="195">
        <f>SUM(AT534,AW534,AZ534,BC534,BF534,BI534,BL534)</f>
        <v>90720.429998956664</v>
      </c>
      <c r="AR534" s="197">
        <f>SUM(AT534,AX534,BA534,BD534,BG534,BJ534,BM534)</f>
        <v>0</v>
      </c>
      <c r="AS534" s="195">
        <f>AQ534-AR534</f>
        <v>90720.429998956664</v>
      </c>
      <c r="AT534" s="312"/>
      <c r="AU534" s="312"/>
      <c r="AV534" s="244"/>
      <c r="AW534" s="159"/>
      <c r="AX534" s="312"/>
      <c r="AY534" s="194">
        <f>AW534-AX534</f>
        <v>0</v>
      </c>
      <c r="AZ534" s="160">
        <v>90720.429998956664</v>
      </c>
      <c r="BA534" s="312"/>
      <c r="BB534" s="194">
        <f>AZ534-BA534</f>
        <v>90720.429998956664</v>
      </c>
      <c r="BC534" s="159"/>
      <c r="BD534" s="312"/>
      <c r="BE534" s="194">
        <f>BC534-BD534</f>
        <v>0</v>
      </c>
      <c r="BF534" s="159"/>
      <c r="BG534" s="244"/>
      <c r="BH534" s="194">
        <f>BF534-BG534</f>
        <v>0</v>
      </c>
      <c r="BI534" s="159"/>
      <c r="BJ534" s="244"/>
      <c r="BK534" s="194">
        <f>BI534-BJ534</f>
        <v>0</v>
      </c>
      <c r="BL534" s="312"/>
      <c r="BM534" s="312"/>
      <c r="BN534" s="195">
        <f>BL534-BM534</f>
        <v>0</v>
      </c>
      <c r="BO534" s="251">
        <v>0</v>
      </c>
      <c r="BP534" s="364"/>
      <c r="BQ534" s="364"/>
      <c r="BR534" s="364"/>
      <c r="BS534" s="249" t="str">
        <f>AG534 &amp; BO534</f>
        <v>Амортизационные отчисления0</v>
      </c>
      <c r="BT534" s="364"/>
      <c r="BU534" s="364"/>
      <c r="BV534" s="364"/>
      <c r="BW534" s="364"/>
      <c r="BX534" s="364"/>
      <c r="BY534" s="249" t="str">
        <f>AG534&amp;AH534</f>
        <v>Амортизационные отчислениянет</v>
      </c>
      <c r="BZ534" s="250"/>
    </row>
    <row r="535" spans="3:78" ht="14.25">
      <c r="C535" s="97"/>
      <c r="D535" s="367"/>
      <c r="E535" s="370"/>
      <c r="F535" s="406"/>
      <c r="G535" s="376"/>
      <c r="H535" s="379"/>
      <c r="I535" s="382"/>
      <c r="J535" s="382"/>
      <c r="K535" s="385"/>
      <c r="L535" s="388"/>
      <c r="M535" s="391"/>
      <c r="N535" s="394"/>
      <c r="O535" s="397"/>
      <c r="P535" s="400"/>
      <c r="Q535" s="403"/>
      <c r="R535" s="362"/>
      <c r="S535" s="362"/>
      <c r="T535" s="362"/>
      <c r="U535" s="362"/>
      <c r="V535" s="362"/>
      <c r="W535" s="362"/>
      <c r="X535" s="362"/>
      <c r="Y535" s="362"/>
      <c r="Z535" s="362"/>
      <c r="AA535" s="362"/>
      <c r="AB535" s="362"/>
      <c r="AC535" s="362"/>
      <c r="AD535" s="362"/>
      <c r="AE535" s="322" t="s">
        <v>1240</v>
      </c>
      <c r="AF535" s="217" t="s">
        <v>118</v>
      </c>
      <c r="AG535" s="196" t="s">
        <v>223</v>
      </c>
      <c r="AH535" s="302" t="s">
        <v>19</v>
      </c>
      <c r="AI535" s="301" t="s">
        <v>154</v>
      </c>
      <c r="AJ535" s="221"/>
      <c r="AK535" s="221"/>
      <c r="AL535" s="221"/>
      <c r="AM535" s="221"/>
      <c r="AN535" s="221"/>
      <c r="AO535" s="221"/>
      <c r="AP535" s="302" t="s">
        <v>19</v>
      </c>
      <c r="AQ535" s="195">
        <f>SUM(AT535,AW535,AZ535,BC535,BF535,BI535,BL535)</f>
        <v>18144.085999791336</v>
      </c>
      <c r="AR535" s="197">
        <f>SUM(AT535,AX535,BA535,BD535,BG535,BJ535,BM535)</f>
        <v>0</v>
      </c>
      <c r="AS535" s="195">
        <f>AQ535-AR535</f>
        <v>18144.085999791336</v>
      </c>
      <c r="AT535" s="315"/>
      <c r="AU535" s="315"/>
      <c r="AV535" s="241"/>
      <c r="AW535" s="198"/>
      <c r="AX535" s="313"/>
      <c r="AY535" s="199">
        <f>AW535-AX535</f>
        <v>0</v>
      </c>
      <c r="AZ535" s="173">
        <f>108864.515998748-AZ534</f>
        <v>18144.085999791336</v>
      </c>
      <c r="BA535" s="313"/>
      <c r="BB535" s="199">
        <f>AZ535-BA535</f>
        <v>18144.085999791336</v>
      </c>
      <c r="BC535" s="198"/>
      <c r="BD535" s="313"/>
      <c r="BE535" s="199">
        <f>BC535-BD535</f>
        <v>0</v>
      </c>
      <c r="BF535" s="198"/>
      <c r="BG535" s="241"/>
      <c r="BH535" s="199">
        <f>BF535-BG535</f>
        <v>0</v>
      </c>
      <c r="BI535" s="198"/>
      <c r="BJ535" s="241"/>
      <c r="BK535" s="199">
        <f>BI535-BJ535</f>
        <v>0</v>
      </c>
      <c r="BL535" s="313"/>
      <c r="BM535" s="313"/>
      <c r="BN535" s="195">
        <f>BL535-BM535</f>
        <v>0</v>
      </c>
      <c r="BO535" s="251">
        <v>0</v>
      </c>
      <c r="BP535" s="364"/>
      <c r="BQ535" s="364"/>
      <c r="BR535" s="364"/>
      <c r="BS535" s="249" t="str">
        <f>AG535 &amp; BO535</f>
        <v>Прочие собственные средства0</v>
      </c>
      <c r="BT535" s="364"/>
      <c r="BU535" s="364"/>
      <c r="BV535" s="364"/>
      <c r="BW535" s="364"/>
      <c r="BX535" s="364"/>
      <c r="BY535" s="249" t="str">
        <f>AG535&amp;AH535</f>
        <v>Прочие собственные средстванет</v>
      </c>
      <c r="BZ535" s="250"/>
    </row>
    <row r="536" spans="3:78" ht="15" customHeight="1">
      <c r="C536" s="306"/>
      <c r="D536" s="367"/>
      <c r="E536" s="370"/>
      <c r="F536" s="406"/>
      <c r="G536" s="376"/>
      <c r="H536" s="379"/>
      <c r="I536" s="382"/>
      <c r="J536" s="382"/>
      <c r="K536" s="385"/>
      <c r="L536" s="388"/>
      <c r="M536" s="391"/>
      <c r="N536" s="395"/>
      <c r="O536" s="398"/>
      <c r="P536" s="401"/>
      <c r="Q536" s="404"/>
      <c r="R536" s="363"/>
      <c r="S536" s="363"/>
      <c r="T536" s="363"/>
      <c r="U536" s="363"/>
      <c r="V536" s="363"/>
      <c r="W536" s="363"/>
      <c r="X536" s="363"/>
      <c r="Y536" s="363"/>
      <c r="Z536" s="363"/>
      <c r="AA536" s="363"/>
      <c r="AB536" s="363"/>
      <c r="AC536" s="363"/>
      <c r="AD536" s="363"/>
      <c r="AE536" s="279" t="s">
        <v>379</v>
      </c>
      <c r="AF536" s="203"/>
      <c r="AG536" s="223" t="s">
        <v>24</v>
      </c>
      <c r="AH536" s="223"/>
      <c r="AI536" s="223"/>
      <c r="AJ536" s="223"/>
      <c r="AK536" s="223"/>
      <c r="AL536" s="223"/>
      <c r="AM536" s="223"/>
      <c r="AN536" s="223"/>
      <c r="AO536" s="223"/>
      <c r="AP536" s="168"/>
      <c r="AQ536" s="169"/>
      <c r="AR536" s="169"/>
      <c r="AS536" s="169"/>
      <c r="AT536" s="169"/>
      <c r="AU536" s="169"/>
      <c r="AV536" s="169"/>
      <c r="AW536" s="169"/>
      <c r="AX536" s="169"/>
      <c r="AY536" s="169"/>
      <c r="AZ536" s="169"/>
      <c r="BA536" s="169"/>
      <c r="BB536" s="169"/>
      <c r="BC536" s="169"/>
      <c r="BD536" s="169"/>
      <c r="BE536" s="169"/>
      <c r="BF536" s="169"/>
      <c r="BG536" s="169"/>
      <c r="BH536" s="169"/>
      <c r="BI536" s="169"/>
      <c r="BJ536" s="169"/>
      <c r="BK536" s="169"/>
      <c r="BL536" s="169"/>
      <c r="BM536" s="169"/>
      <c r="BN536" s="170"/>
      <c r="BO536" s="251"/>
      <c r="BP536" s="364"/>
      <c r="BQ536" s="364"/>
      <c r="BR536" s="364"/>
      <c r="BS536" s="250"/>
      <c r="BT536" s="364"/>
      <c r="BU536" s="364"/>
      <c r="BV536" s="364"/>
      <c r="BW536" s="364"/>
      <c r="BX536" s="364"/>
      <c r="BY536" s="250"/>
    </row>
    <row r="537" spans="3:78" ht="15" customHeight="1" thickBot="1">
      <c r="C537" s="307"/>
      <c r="D537" s="368"/>
      <c r="E537" s="371"/>
      <c r="F537" s="407"/>
      <c r="G537" s="377"/>
      <c r="H537" s="380"/>
      <c r="I537" s="383"/>
      <c r="J537" s="383"/>
      <c r="K537" s="386"/>
      <c r="L537" s="389"/>
      <c r="M537" s="392"/>
      <c r="N537" s="280" t="s">
        <v>380</v>
      </c>
      <c r="O537" s="212"/>
      <c r="P537" s="365" t="s">
        <v>154</v>
      </c>
      <c r="Q537" s="365"/>
      <c r="R537" s="171"/>
      <c r="S537" s="171"/>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6"/>
      <c r="AY537" s="166"/>
      <c r="AZ537" s="166"/>
      <c r="BA537" s="166"/>
      <c r="BB537" s="166"/>
      <c r="BC537" s="166"/>
      <c r="BD537" s="166"/>
      <c r="BE537" s="166"/>
      <c r="BF537" s="166"/>
      <c r="BG537" s="166"/>
      <c r="BH537" s="166"/>
      <c r="BI537" s="166"/>
      <c r="BJ537" s="166"/>
      <c r="BK537" s="166"/>
      <c r="BL537" s="166"/>
      <c r="BM537" s="166"/>
      <c r="BN537" s="167"/>
      <c r="BO537" s="251"/>
      <c r="BP537" s="250"/>
      <c r="BQ537" s="250"/>
      <c r="BR537" s="250"/>
      <c r="BS537" s="250"/>
      <c r="BT537" s="250"/>
      <c r="BU537" s="250"/>
      <c r="BY537" s="250"/>
    </row>
    <row r="538" spans="3:78" ht="11.25" customHeight="1">
      <c r="C538" s="97" t="s">
        <v>1240</v>
      </c>
      <c r="D538" s="366" t="s">
        <v>1372</v>
      </c>
      <c r="E538" s="369" t="s">
        <v>199</v>
      </c>
      <c r="F538" s="405" t="s">
        <v>209</v>
      </c>
      <c r="G538" s="375" t="s">
        <v>1384</v>
      </c>
      <c r="H538" s="378" t="s">
        <v>715</v>
      </c>
      <c r="I538" s="381" t="s">
        <v>715</v>
      </c>
      <c r="J538" s="381" t="s">
        <v>716</v>
      </c>
      <c r="K538" s="384">
        <v>1</v>
      </c>
      <c r="L538" s="387" t="s">
        <v>3</v>
      </c>
      <c r="M538" s="390">
        <v>0</v>
      </c>
      <c r="N538" s="163"/>
      <c r="O538" s="161"/>
      <c r="P538" s="161"/>
      <c r="Q538" s="161"/>
      <c r="R538" s="161"/>
      <c r="S538" s="161"/>
      <c r="T538" s="161"/>
      <c r="U538" s="161"/>
      <c r="V538" s="161"/>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c r="AX538" s="161"/>
      <c r="AY538" s="161"/>
      <c r="AZ538" s="161"/>
      <c r="BA538" s="161"/>
      <c r="BB538" s="161"/>
      <c r="BC538" s="161"/>
      <c r="BD538" s="161"/>
      <c r="BE538" s="161"/>
      <c r="BF538" s="161"/>
      <c r="BG538" s="161"/>
      <c r="BH538" s="161"/>
      <c r="BI538" s="161"/>
      <c r="BJ538" s="161"/>
      <c r="BK538" s="161"/>
      <c r="BL538" s="161"/>
      <c r="BM538" s="161"/>
      <c r="BN538" s="162"/>
      <c r="BO538" s="251"/>
      <c r="BP538" s="250"/>
      <c r="BQ538" s="250"/>
      <c r="BR538" s="250"/>
      <c r="BS538" s="250"/>
      <c r="BT538" s="250"/>
      <c r="BU538" s="250"/>
      <c r="BY538" s="250"/>
    </row>
    <row r="539" spans="3:78" ht="11.25" customHeight="1">
      <c r="C539" s="306"/>
      <c r="D539" s="367"/>
      <c r="E539" s="370"/>
      <c r="F539" s="406"/>
      <c r="G539" s="376"/>
      <c r="H539" s="379"/>
      <c r="I539" s="382"/>
      <c r="J539" s="382"/>
      <c r="K539" s="385"/>
      <c r="L539" s="388"/>
      <c r="M539" s="391"/>
      <c r="N539" s="393"/>
      <c r="O539" s="396">
        <v>1</v>
      </c>
      <c r="P539" s="399" t="s">
        <v>1297</v>
      </c>
      <c r="Q539" s="402"/>
      <c r="R539" s="361" t="s">
        <v>154</v>
      </c>
      <c r="S539" s="361" t="s">
        <v>154</v>
      </c>
      <c r="T539" s="361" t="s">
        <v>154</v>
      </c>
      <c r="U539" s="361" t="s">
        <v>154</v>
      </c>
      <c r="V539" s="361" t="s">
        <v>154</v>
      </c>
      <c r="W539" s="361" t="s">
        <v>154</v>
      </c>
      <c r="X539" s="361" t="s">
        <v>154</v>
      </c>
      <c r="Y539" s="361" t="s">
        <v>154</v>
      </c>
      <c r="Z539" s="361" t="s">
        <v>154</v>
      </c>
      <c r="AA539" s="361" t="s">
        <v>154</v>
      </c>
      <c r="AB539" s="361" t="s">
        <v>154</v>
      </c>
      <c r="AC539" s="361" t="s">
        <v>154</v>
      </c>
      <c r="AD539" s="361" t="s">
        <v>154</v>
      </c>
      <c r="AE539" s="209"/>
      <c r="AF539" s="220">
        <v>0</v>
      </c>
      <c r="AG539" s="219" t="s">
        <v>308</v>
      </c>
      <c r="AH539" s="219"/>
      <c r="AI539" s="219"/>
      <c r="AJ539" s="219"/>
      <c r="AK539" s="219"/>
      <c r="AL539" s="219"/>
      <c r="AM539" s="219"/>
      <c r="AN539" s="219"/>
      <c r="AO539" s="219"/>
      <c r="AP539" s="164"/>
      <c r="AQ539" s="164"/>
      <c r="AR539" s="164"/>
      <c r="AS539" s="164"/>
      <c r="AT539" s="164"/>
      <c r="AU539" s="164"/>
      <c r="AV539" s="164"/>
      <c r="AW539" s="164"/>
      <c r="AX539" s="164"/>
      <c r="AY539" s="164"/>
      <c r="AZ539" s="164"/>
      <c r="BA539" s="164"/>
      <c r="BB539" s="164"/>
      <c r="BC539" s="164"/>
      <c r="BD539" s="164"/>
      <c r="BE539" s="164"/>
      <c r="BF539" s="164"/>
      <c r="BG539" s="164"/>
      <c r="BH539" s="164"/>
      <c r="BI539" s="164"/>
      <c r="BJ539" s="164"/>
      <c r="BK539" s="164"/>
      <c r="BL539" s="164"/>
      <c r="BM539" s="164"/>
      <c r="BN539" s="165"/>
      <c r="BO539" s="251"/>
      <c r="BP539" s="364" t="s">
        <v>1298</v>
      </c>
      <c r="BQ539" s="364" t="s">
        <v>1298</v>
      </c>
      <c r="BR539" s="364" t="s">
        <v>1298</v>
      </c>
      <c r="BS539" s="250"/>
      <c r="BT539" s="364" t="s">
        <v>1298</v>
      </c>
      <c r="BU539" s="364" t="s">
        <v>1298</v>
      </c>
      <c r="BV539" s="364" t="s">
        <v>1298</v>
      </c>
      <c r="BW539" s="364" t="s">
        <v>1298</v>
      </c>
      <c r="BX539" s="364" t="s">
        <v>1298</v>
      </c>
      <c r="BY539" s="250"/>
    </row>
    <row r="540" spans="3:78" ht="14.25">
      <c r="C540" s="306"/>
      <c r="D540" s="367"/>
      <c r="E540" s="370"/>
      <c r="F540" s="406"/>
      <c r="G540" s="376"/>
      <c r="H540" s="379"/>
      <c r="I540" s="382"/>
      <c r="J540" s="382"/>
      <c r="K540" s="385"/>
      <c r="L540" s="388"/>
      <c r="M540" s="391"/>
      <c r="N540" s="394"/>
      <c r="O540" s="397"/>
      <c r="P540" s="400"/>
      <c r="Q540" s="403"/>
      <c r="R540" s="362"/>
      <c r="S540" s="362"/>
      <c r="T540" s="362"/>
      <c r="U540" s="362"/>
      <c r="V540" s="362"/>
      <c r="W540" s="362"/>
      <c r="X540" s="362"/>
      <c r="Y540" s="362"/>
      <c r="Z540" s="362"/>
      <c r="AA540" s="362"/>
      <c r="AB540" s="362"/>
      <c r="AC540" s="362"/>
      <c r="AD540" s="362"/>
      <c r="AE540" s="193"/>
      <c r="AF540" s="217" t="s">
        <v>268</v>
      </c>
      <c r="AG540" s="158" t="s">
        <v>221</v>
      </c>
      <c r="AH540" s="300" t="s">
        <v>19</v>
      </c>
      <c r="AI540" s="301" t="s">
        <v>154</v>
      </c>
      <c r="AJ540" s="221"/>
      <c r="AK540" s="221"/>
      <c r="AL540" s="221"/>
      <c r="AM540" s="221"/>
      <c r="AN540" s="221"/>
      <c r="AO540" s="221"/>
      <c r="AP540" s="302" t="s">
        <v>19</v>
      </c>
      <c r="AQ540" s="195">
        <f>SUM(AT540,AW540,AZ540,BC540,BF540,BI540,BL540)</f>
        <v>11684.940232685001</v>
      </c>
      <c r="AR540" s="197">
        <f>SUM(AT540,AX540,BA540,BD540,BG540,BJ540,BM540)</f>
        <v>0</v>
      </c>
      <c r="AS540" s="195">
        <f>AQ540-AR540</f>
        <v>11684.940232685001</v>
      </c>
      <c r="AT540" s="312"/>
      <c r="AU540" s="312"/>
      <c r="AV540" s="244"/>
      <c r="AW540" s="159">
        <v>11684.940232685001</v>
      </c>
      <c r="AX540" s="312"/>
      <c r="AY540" s="194">
        <f>AW540-AX540</f>
        <v>11684.940232685001</v>
      </c>
      <c r="AZ540" s="160"/>
      <c r="BA540" s="312"/>
      <c r="BB540" s="194">
        <f>AZ540-BA540</f>
        <v>0</v>
      </c>
      <c r="BC540" s="159"/>
      <c r="BD540" s="312"/>
      <c r="BE540" s="194">
        <f>BC540-BD540</f>
        <v>0</v>
      </c>
      <c r="BF540" s="159"/>
      <c r="BG540" s="244"/>
      <c r="BH540" s="194">
        <f>BF540-BG540</f>
        <v>0</v>
      </c>
      <c r="BI540" s="159"/>
      <c r="BJ540" s="244"/>
      <c r="BK540" s="194">
        <f>BI540-BJ540</f>
        <v>0</v>
      </c>
      <c r="BL540" s="312"/>
      <c r="BM540" s="312"/>
      <c r="BN540" s="195">
        <f>BL540-BM540</f>
        <v>0</v>
      </c>
      <c r="BO540" s="251">
        <v>0</v>
      </c>
      <c r="BP540" s="364"/>
      <c r="BQ540" s="364"/>
      <c r="BR540" s="364"/>
      <c r="BS540" s="249" t="str">
        <f>AG540 &amp; BO540</f>
        <v>Амортизационные отчисления0</v>
      </c>
      <c r="BT540" s="364"/>
      <c r="BU540" s="364"/>
      <c r="BV540" s="364"/>
      <c r="BW540" s="364"/>
      <c r="BX540" s="364"/>
      <c r="BY540" s="249" t="str">
        <f>AG540&amp;AH540</f>
        <v>Амортизационные отчислениянет</v>
      </c>
      <c r="BZ540" s="250"/>
    </row>
    <row r="541" spans="3:78" ht="14.25">
      <c r="C541" s="97"/>
      <c r="D541" s="367"/>
      <c r="E541" s="370"/>
      <c r="F541" s="406"/>
      <c r="G541" s="376"/>
      <c r="H541" s="379"/>
      <c r="I541" s="382"/>
      <c r="J541" s="382"/>
      <c r="K541" s="385"/>
      <c r="L541" s="388"/>
      <c r="M541" s="391"/>
      <c r="N541" s="394"/>
      <c r="O541" s="397"/>
      <c r="P541" s="400"/>
      <c r="Q541" s="403"/>
      <c r="R541" s="362"/>
      <c r="S541" s="362"/>
      <c r="T541" s="362"/>
      <c r="U541" s="362"/>
      <c r="V541" s="362"/>
      <c r="W541" s="362"/>
      <c r="X541" s="362"/>
      <c r="Y541" s="362"/>
      <c r="Z541" s="362"/>
      <c r="AA541" s="362"/>
      <c r="AB541" s="362"/>
      <c r="AC541" s="362"/>
      <c r="AD541" s="362"/>
      <c r="AE541" s="322" t="s">
        <v>1240</v>
      </c>
      <c r="AF541" s="217" t="s">
        <v>118</v>
      </c>
      <c r="AG541" s="196" t="s">
        <v>223</v>
      </c>
      <c r="AH541" s="302" t="s">
        <v>19</v>
      </c>
      <c r="AI541" s="301" t="s">
        <v>154</v>
      </c>
      <c r="AJ541" s="221"/>
      <c r="AK541" s="221"/>
      <c r="AL541" s="221"/>
      <c r="AM541" s="221"/>
      <c r="AN541" s="221"/>
      <c r="AO541" s="221"/>
      <c r="AP541" s="302" t="s">
        <v>19</v>
      </c>
      <c r="AQ541" s="195">
        <f>SUM(AT541,AW541,AZ541,BC541,BF541,BI541,BL541)</f>
        <v>2336.9880465369988</v>
      </c>
      <c r="AR541" s="197">
        <f>SUM(AT541,AX541,BA541,BD541,BG541,BJ541,BM541)</f>
        <v>0</v>
      </c>
      <c r="AS541" s="195">
        <f>AQ541-AR541</f>
        <v>2336.9880465369988</v>
      </c>
      <c r="AT541" s="315"/>
      <c r="AU541" s="315"/>
      <c r="AV541" s="241"/>
      <c r="AW541" s="198">
        <f>14021.928279222-AW540</f>
        <v>2336.9880465369988</v>
      </c>
      <c r="AX541" s="313"/>
      <c r="AY541" s="199">
        <f>AW541-AX541</f>
        <v>2336.9880465369988</v>
      </c>
      <c r="AZ541" s="173"/>
      <c r="BA541" s="313"/>
      <c r="BB541" s="199">
        <f>AZ541-BA541</f>
        <v>0</v>
      </c>
      <c r="BC541" s="198"/>
      <c r="BD541" s="313"/>
      <c r="BE541" s="199">
        <f>BC541-BD541</f>
        <v>0</v>
      </c>
      <c r="BF541" s="198"/>
      <c r="BG541" s="241"/>
      <c r="BH541" s="199">
        <f>BF541-BG541</f>
        <v>0</v>
      </c>
      <c r="BI541" s="198"/>
      <c r="BJ541" s="241"/>
      <c r="BK541" s="199">
        <f>BI541-BJ541</f>
        <v>0</v>
      </c>
      <c r="BL541" s="313"/>
      <c r="BM541" s="313"/>
      <c r="BN541" s="195">
        <f>BL541-BM541</f>
        <v>0</v>
      </c>
      <c r="BO541" s="251">
        <v>0</v>
      </c>
      <c r="BP541" s="364"/>
      <c r="BQ541" s="364"/>
      <c r="BR541" s="364"/>
      <c r="BS541" s="249" t="str">
        <f>AG541 &amp; BO541</f>
        <v>Прочие собственные средства0</v>
      </c>
      <c r="BT541" s="364"/>
      <c r="BU541" s="364"/>
      <c r="BV541" s="364"/>
      <c r="BW541" s="364"/>
      <c r="BX541" s="364"/>
      <c r="BY541" s="249" t="str">
        <f>AG541&amp;AH541</f>
        <v>Прочие собственные средстванет</v>
      </c>
      <c r="BZ541" s="250"/>
    </row>
    <row r="542" spans="3:78" ht="15" customHeight="1">
      <c r="C542" s="306"/>
      <c r="D542" s="367"/>
      <c r="E542" s="370"/>
      <c r="F542" s="406"/>
      <c r="G542" s="376"/>
      <c r="H542" s="379"/>
      <c r="I542" s="382"/>
      <c r="J542" s="382"/>
      <c r="K542" s="385"/>
      <c r="L542" s="388"/>
      <c r="M542" s="391"/>
      <c r="N542" s="395"/>
      <c r="O542" s="398"/>
      <c r="P542" s="401"/>
      <c r="Q542" s="404"/>
      <c r="R542" s="363"/>
      <c r="S542" s="363"/>
      <c r="T542" s="363"/>
      <c r="U542" s="363"/>
      <c r="V542" s="363"/>
      <c r="W542" s="363"/>
      <c r="X542" s="363"/>
      <c r="Y542" s="363"/>
      <c r="Z542" s="363"/>
      <c r="AA542" s="363"/>
      <c r="AB542" s="363"/>
      <c r="AC542" s="363"/>
      <c r="AD542" s="363"/>
      <c r="AE542" s="279" t="s">
        <v>379</v>
      </c>
      <c r="AF542" s="203"/>
      <c r="AG542" s="223" t="s">
        <v>24</v>
      </c>
      <c r="AH542" s="223"/>
      <c r="AI542" s="223"/>
      <c r="AJ542" s="223"/>
      <c r="AK542" s="223"/>
      <c r="AL542" s="223"/>
      <c r="AM542" s="223"/>
      <c r="AN542" s="223"/>
      <c r="AO542" s="223"/>
      <c r="AP542" s="168"/>
      <c r="AQ542" s="169"/>
      <c r="AR542" s="169"/>
      <c r="AS542" s="169"/>
      <c r="AT542" s="169"/>
      <c r="AU542" s="169"/>
      <c r="AV542" s="169"/>
      <c r="AW542" s="169"/>
      <c r="AX542" s="169"/>
      <c r="AY542" s="169"/>
      <c r="AZ542" s="169"/>
      <c r="BA542" s="169"/>
      <c r="BB542" s="169"/>
      <c r="BC542" s="169"/>
      <c r="BD542" s="169"/>
      <c r="BE542" s="169"/>
      <c r="BF542" s="169"/>
      <c r="BG542" s="169"/>
      <c r="BH542" s="169"/>
      <c r="BI542" s="169"/>
      <c r="BJ542" s="169"/>
      <c r="BK542" s="169"/>
      <c r="BL542" s="169"/>
      <c r="BM542" s="169"/>
      <c r="BN542" s="170"/>
      <c r="BO542" s="251"/>
      <c r="BP542" s="364"/>
      <c r="BQ542" s="364"/>
      <c r="BR542" s="364"/>
      <c r="BS542" s="250"/>
      <c r="BT542" s="364"/>
      <c r="BU542" s="364"/>
      <c r="BV542" s="364"/>
      <c r="BW542" s="364"/>
      <c r="BX542" s="364"/>
      <c r="BY542" s="250"/>
    </row>
    <row r="543" spans="3:78" ht="15" customHeight="1" thickBot="1">
      <c r="C543" s="307"/>
      <c r="D543" s="368"/>
      <c r="E543" s="371"/>
      <c r="F543" s="407"/>
      <c r="G543" s="377"/>
      <c r="H543" s="380"/>
      <c r="I543" s="383"/>
      <c r="J543" s="383"/>
      <c r="K543" s="386"/>
      <c r="L543" s="389"/>
      <c r="M543" s="392"/>
      <c r="N543" s="280" t="s">
        <v>380</v>
      </c>
      <c r="O543" s="212"/>
      <c r="P543" s="365" t="s">
        <v>154</v>
      </c>
      <c r="Q543" s="365"/>
      <c r="R543" s="171"/>
      <c r="S543" s="171"/>
      <c r="T543" s="166"/>
      <c r="U543" s="166"/>
      <c r="V543" s="166"/>
      <c r="W543" s="166"/>
      <c r="X543" s="166"/>
      <c r="Y543" s="166"/>
      <c r="Z543" s="166"/>
      <c r="AA543" s="166"/>
      <c r="AB543" s="166"/>
      <c r="AC543" s="166"/>
      <c r="AD543" s="166"/>
      <c r="AE543" s="166"/>
      <c r="AF543" s="166"/>
      <c r="AG543" s="166"/>
      <c r="AH543" s="166"/>
      <c r="AI543" s="166"/>
      <c r="AJ543" s="166"/>
      <c r="AK543" s="166"/>
      <c r="AL543" s="166"/>
      <c r="AM543" s="166"/>
      <c r="AN543" s="166"/>
      <c r="AO543" s="166"/>
      <c r="AP543" s="166"/>
      <c r="AQ543" s="166"/>
      <c r="AR543" s="166"/>
      <c r="AS543" s="166"/>
      <c r="AT543" s="166"/>
      <c r="AU543" s="166"/>
      <c r="AV543" s="166"/>
      <c r="AW543" s="166"/>
      <c r="AX543" s="166"/>
      <c r="AY543" s="166"/>
      <c r="AZ543" s="166"/>
      <c r="BA543" s="166"/>
      <c r="BB543" s="166"/>
      <c r="BC543" s="166"/>
      <c r="BD543" s="166"/>
      <c r="BE543" s="166"/>
      <c r="BF543" s="166"/>
      <c r="BG543" s="166"/>
      <c r="BH543" s="166"/>
      <c r="BI543" s="166"/>
      <c r="BJ543" s="166"/>
      <c r="BK543" s="166"/>
      <c r="BL543" s="166"/>
      <c r="BM543" s="166"/>
      <c r="BN543" s="167"/>
      <c r="BO543" s="251"/>
      <c r="BP543" s="250"/>
      <c r="BQ543" s="250"/>
      <c r="BR543" s="250"/>
      <c r="BS543" s="250"/>
      <c r="BT543" s="250"/>
      <c r="BU543" s="250"/>
      <c r="BY543" s="250"/>
    </row>
    <row r="544" spans="3:78" ht="11.25" customHeight="1">
      <c r="C544" s="97" t="s">
        <v>1240</v>
      </c>
      <c r="D544" s="366" t="s">
        <v>1373</v>
      </c>
      <c r="E544" s="369" t="s">
        <v>199</v>
      </c>
      <c r="F544" s="405" t="s">
        <v>209</v>
      </c>
      <c r="G544" s="375" t="s">
        <v>1493</v>
      </c>
      <c r="H544" s="378" t="s">
        <v>715</v>
      </c>
      <c r="I544" s="381" t="s">
        <v>715</v>
      </c>
      <c r="J544" s="381" t="s">
        <v>716</v>
      </c>
      <c r="K544" s="384">
        <v>1</v>
      </c>
      <c r="L544" s="387" t="s">
        <v>4</v>
      </c>
      <c r="M544" s="390">
        <v>0</v>
      </c>
      <c r="N544" s="163"/>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161"/>
      <c r="AV544" s="161"/>
      <c r="AW544" s="161"/>
      <c r="AX544" s="161"/>
      <c r="AY544" s="161"/>
      <c r="AZ544" s="161"/>
      <c r="BA544" s="161"/>
      <c r="BB544" s="161"/>
      <c r="BC544" s="161"/>
      <c r="BD544" s="161"/>
      <c r="BE544" s="161"/>
      <c r="BF544" s="161"/>
      <c r="BG544" s="161"/>
      <c r="BH544" s="161"/>
      <c r="BI544" s="161"/>
      <c r="BJ544" s="161"/>
      <c r="BK544" s="161"/>
      <c r="BL544" s="161"/>
      <c r="BM544" s="161"/>
      <c r="BN544" s="162"/>
      <c r="BO544" s="251"/>
      <c r="BP544" s="250"/>
      <c r="BQ544" s="250"/>
      <c r="BR544" s="250"/>
      <c r="BS544" s="250"/>
      <c r="BT544" s="250"/>
      <c r="BU544" s="250"/>
      <c r="BY544" s="250"/>
    </row>
    <row r="545" spans="3:78" ht="11.25" customHeight="1">
      <c r="C545" s="306"/>
      <c r="D545" s="367"/>
      <c r="E545" s="370"/>
      <c r="F545" s="406"/>
      <c r="G545" s="376"/>
      <c r="H545" s="379"/>
      <c r="I545" s="382"/>
      <c r="J545" s="382"/>
      <c r="K545" s="385"/>
      <c r="L545" s="388"/>
      <c r="M545" s="391"/>
      <c r="N545" s="393"/>
      <c r="O545" s="396">
        <v>1</v>
      </c>
      <c r="P545" s="399" t="s">
        <v>1297</v>
      </c>
      <c r="Q545" s="402"/>
      <c r="R545" s="361" t="s">
        <v>154</v>
      </c>
      <c r="S545" s="361" t="s">
        <v>154</v>
      </c>
      <c r="T545" s="361" t="s">
        <v>154</v>
      </c>
      <c r="U545" s="361" t="s">
        <v>154</v>
      </c>
      <c r="V545" s="361" t="s">
        <v>154</v>
      </c>
      <c r="W545" s="361" t="s">
        <v>154</v>
      </c>
      <c r="X545" s="361" t="s">
        <v>154</v>
      </c>
      <c r="Y545" s="361" t="s">
        <v>154</v>
      </c>
      <c r="Z545" s="361" t="s">
        <v>154</v>
      </c>
      <c r="AA545" s="361" t="s">
        <v>154</v>
      </c>
      <c r="AB545" s="361" t="s">
        <v>154</v>
      </c>
      <c r="AC545" s="361" t="s">
        <v>154</v>
      </c>
      <c r="AD545" s="361" t="s">
        <v>154</v>
      </c>
      <c r="AE545" s="209"/>
      <c r="AF545" s="220">
        <v>0</v>
      </c>
      <c r="AG545" s="219" t="s">
        <v>308</v>
      </c>
      <c r="AH545" s="219"/>
      <c r="AI545" s="219"/>
      <c r="AJ545" s="219"/>
      <c r="AK545" s="219"/>
      <c r="AL545" s="219"/>
      <c r="AM545" s="219"/>
      <c r="AN545" s="219"/>
      <c r="AO545" s="219"/>
      <c r="AP545" s="164"/>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64"/>
      <c r="BM545" s="164"/>
      <c r="BN545" s="165"/>
      <c r="BO545" s="251"/>
      <c r="BP545" s="364" t="s">
        <v>1298</v>
      </c>
      <c r="BQ545" s="364" t="s">
        <v>1298</v>
      </c>
      <c r="BR545" s="364" t="s">
        <v>1298</v>
      </c>
      <c r="BS545" s="250"/>
      <c r="BT545" s="364" t="s">
        <v>1298</v>
      </c>
      <c r="BU545" s="364" t="s">
        <v>1298</v>
      </c>
      <c r="BV545" s="364" t="s">
        <v>1298</v>
      </c>
      <c r="BW545" s="364" t="s">
        <v>1298</v>
      </c>
      <c r="BX545" s="364" t="s">
        <v>1298</v>
      </c>
      <c r="BY545" s="250"/>
    </row>
    <row r="546" spans="3:78" ht="14.25">
      <c r="C546" s="306"/>
      <c r="D546" s="367"/>
      <c r="E546" s="370"/>
      <c r="F546" s="406"/>
      <c r="G546" s="376"/>
      <c r="H546" s="379"/>
      <c r="I546" s="382"/>
      <c r="J546" s="382"/>
      <c r="K546" s="385"/>
      <c r="L546" s="388"/>
      <c r="M546" s="391"/>
      <c r="N546" s="394"/>
      <c r="O546" s="397"/>
      <c r="P546" s="400"/>
      <c r="Q546" s="403"/>
      <c r="R546" s="362"/>
      <c r="S546" s="362"/>
      <c r="T546" s="362"/>
      <c r="U546" s="362"/>
      <c r="V546" s="362"/>
      <c r="W546" s="362"/>
      <c r="X546" s="362"/>
      <c r="Y546" s="362"/>
      <c r="Z546" s="362"/>
      <c r="AA546" s="362"/>
      <c r="AB546" s="362"/>
      <c r="AC546" s="362"/>
      <c r="AD546" s="362"/>
      <c r="AE546" s="193"/>
      <c r="AF546" s="217" t="s">
        <v>268</v>
      </c>
      <c r="AG546" s="158" t="s">
        <v>221</v>
      </c>
      <c r="AH546" s="300" t="s">
        <v>19</v>
      </c>
      <c r="AI546" s="301" t="s">
        <v>154</v>
      </c>
      <c r="AJ546" s="221"/>
      <c r="AK546" s="221"/>
      <c r="AL546" s="221"/>
      <c r="AM546" s="221"/>
      <c r="AN546" s="221"/>
      <c r="AO546" s="221"/>
      <c r="AP546" s="302" t="s">
        <v>19</v>
      </c>
      <c r="AQ546" s="195">
        <f>SUM(AT546,AW546,AZ546,BC546,BF546,BI546,BL546)</f>
        <v>59646.190581886913</v>
      </c>
      <c r="AR546" s="197">
        <f>SUM(AT546,AX546,BA546,BD546,BG546,BJ546,BM546)</f>
        <v>0</v>
      </c>
      <c r="AS546" s="195">
        <f>AQ546-AR546</f>
        <v>59646.190581886913</v>
      </c>
      <c r="AT546" s="312"/>
      <c r="AU546" s="312"/>
      <c r="AV546" s="244"/>
      <c r="AW546" s="159"/>
      <c r="AX546" s="312"/>
      <c r="AY546" s="194">
        <f>AW546-AX546</f>
        <v>0</v>
      </c>
      <c r="AZ546" s="160">
        <v>59646.190581886913</v>
      </c>
      <c r="BA546" s="312"/>
      <c r="BB546" s="194">
        <f>AZ546-BA546</f>
        <v>59646.190581886913</v>
      </c>
      <c r="BC546" s="159"/>
      <c r="BD546" s="312"/>
      <c r="BE546" s="194">
        <f>BC546-BD546</f>
        <v>0</v>
      </c>
      <c r="BF546" s="159"/>
      <c r="BG546" s="244"/>
      <c r="BH546" s="194">
        <f>BF546-BG546</f>
        <v>0</v>
      </c>
      <c r="BI546" s="159"/>
      <c r="BJ546" s="244"/>
      <c r="BK546" s="194">
        <f>BI546-BJ546</f>
        <v>0</v>
      </c>
      <c r="BL546" s="312"/>
      <c r="BM546" s="312"/>
      <c r="BN546" s="195">
        <f>BL546-BM546</f>
        <v>0</v>
      </c>
      <c r="BO546" s="251">
        <v>0</v>
      </c>
      <c r="BP546" s="364"/>
      <c r="BQ546" s="364"/>
      <c r="BR546" s="364"/>
      <c r="BS546" s="249" t="str">
        <f>AG546 &amp; BO546</f>
        <v>Амортизационные отчисления0</v>
      </c>
      <c r="BT546" s="364"/>
      <c r="BU546" s="364"/>
      <c r="BV546" s="364"/>
      <c r="BW546" s="364"/>
      <c r="BX546" s="364"/>
      <c r="BY546" s="249" t="str">
        <f>AG546&amp;AH546</f>
        <v>Амортизационные отчислениянет</v>
      </c>
      <c r="BZ546" s="250"/>
    </row>
    <row r="547" spans="3:78" ht="14.25">
      <c r="C547" s="97"/>
      <c r="D547" s="367"/>
      <c r="E547" s="370"/>
      <c r="F547" s="406"/>
      <c r="G547" s="376"/>
      <c r="H547" s="379"/>
      <c r="I547" s="382"/>
      <c r="J547" s="382"/>
      <c r="K547" s="385"/>
      <c r="L547" s="388"/>
      <c r="M547" s="391"/>
      <c r="N547" s="394"/>
      <c r="O547" s="397"/>
      <c r="P547" s="400"/>
      <c r="Q547" s="403"/>
      <c r="R547" s="362"/>
      <c r="S547" s="362"/>
      <c r="T547" s="362"/>
      <c r="U547" s="362"/>
      <c r="V547" s="362"/>
      <c r="W547" s="362"/>
      <c r="X547" s="362"/>
      <c r="Y547" s="362"/>
      <c r="Z547" s="362"/>
      <c r="AA547" s="362"/>
      <c r="AB547" s="362"/>
      <c r="AC547" s="362"/>
      <c r="AD547" s="362"/>
      <c r="AE547" s="322" t="s">
        <v>1240</v>
      </c>
      <c r="AF547" s="217" t="s">
        <v>118</v>
      </c>
      <c r="AG547" s="196" t="s">
        <v>223</v>
      </c>
      <c r="AH547" s="302" t="s">
        <v>19</v>
      </c>
      <c r="AI547" s="301" t="s">
        <v>154</v>
      </c>
      <c r="AJ547" s="221"/>
      <c r="AK547" s="221"/>
      <c r="AL547" s="221"/>
      <c r="AM547" s="221"/>
      <c r="AN547" s="221"/>
      <c r="AO547" s="221"/>
      <c r="AP547" s="302" t="s">
        <v>19</v>
      </c>
      <c r="AQ547" s="195">
        <f>SUM(AT547,AW547,AZ547,BC547,BF547,BI547,BL547)</f>
        <v>11929.238116377383</v>
      </c>
      <c r="AR547" s="197">
        <f>SUM(AT547,AX547,BA547,BD547,BG547,BJ547,BM547)</f>
        <v>0</v>
      </c>
      <c r="AS547" s="195">
        <f>AQ547-AR547</f>
        <v>11929.238116377383</v>
      </c>
      <c r="AT547" s="315"/>
      <c r="AU547" s="315"/>
      <c r="AV547" s="241"/>
      <c r="AW547" s="198"/>
      <c r="AX547" s="313"/>
      <c r="AY547" s="199">
        <f>AW547-AX547</f>
        <v>0</v>
      </c>
      <c r="AZ547" s="173">
        <f>71575.4286982643-AZ546</f>
        <v>11929.238116377383</v>
      </c>
      <c r="BA547" s="313"/>
      <c r="BB547" s="199">
        <f>AZ547-BA547</f>
        <v>11929.238116377383</v>
      </c>
      <c r="BC547" s="198"/>
      <c r="BD547" s="313"/>
      <c r="BE547" s="199">
        <f>BC547-BD547</f>
        <v>0</v>
      </c>
      <c r="BF547" s="198"/>
      <c r="BG547" s="241"/>
      <c r="BH547" s="199">
        <f>BF547-BG547</f>
        <v>0</v>
      </c>
      <c r="BI547" s="198"/>
      <c r="BJ547" s="241"/>
      <c r="BK547" s="199">
        <f>BI547-BJ547</f>
        <v>0</v>
      </c>
      <c r="BL547" s="313"/>
      <c r="BM547" s="313"/>
      <c r="BN547" s="195">
        <f>BL547-BM547</f>
        <v>0</v>
      </c>
      <c r="BO547" s="251">
        <v>0</v>
      </c>
      <c r="BP547" s="364"/>
      <c r="BQ547" s="364"/>
      <c r="BR547" s="364"/>
      <c r="BS547" s="249" t="str">
        <f>AG547 &amp; BO547</f>
        <v>Прочие собственные средства0</v>
      </c>
      <c r="BT547" s="364"/>
      <c r="BU547" s="364"/>
      <c r="BV547" s="364"/>
      <c r="BW547" s="364"/>
      <c r="BX547" s="364"/>
      <c r="BY547" s="249" t="str">
        <f>AG547&amp;AH547</f>
        <v>Прочие собственные средстванет</v>
      </c>
      <c r="BZ547" s="250"/>
    </row>
    <row r="548" spans="3:78" ht="15" customHeight="1">
      <c r="C548" s="306"/>
      <c r="D548" s="367"/>
      <c r="E548" s="370"/>
      <c r="F548" s="406"/>
      <c r="G548" s="376"/>
      <c r="H548" s="379"/>
      <c r="I548" s="382"/>
      <c r="J548" s="382"/>
      <c r="K548" s="385"/>
      <c r="L548" s="388"/>
      <c r="M548" s="391"/>
      <c r="N548" s="395"/>
      <c r="O548" s="398"/>
      <c r="P548" s="401"/>
      <c r="Q548" s="404"/>
      <c r="R548" s="363"/>
      <c r="S548" s="363"/>
      <c r="T548" s="363"/>
      <c r="U548" s="363"/>
      <c r="V548" s="363"/>
      <c r="W548" s="363"/>
      <c r="X548" s="363"/>
      <c r="Y548" s="363"/>
      <c r="Z548" s="363"/>
      <c r="AA548" s="363"/>
      <c r="AB548" s="363"/>
      <c r="AC548" s="363"/>
      <c r="AD548" s="363"/>
      <c r="AE548" s="279" t="s">
        <v>379</v>
      </c>
      <c r="AF548" s="203"/>
      <c r="AG548" s="223" t="s">
        <v>24</v>
      </c>
      <c r="AH548" s="223"/>
      <c r="AI548" s="223"/>
      <c r="AJ548" s="223"/>
      <c r="AK548" s="223"/>
      <c r="AL548" s="223"/>
      <c r="AM548" s="223"/>
      <c r="AN548" s="223"/>
      <c r="AO548" s="223"/>
      <c r="AP548" s="168"/>
      <c r="AQ548" s="169"/>
      <c r="AR548" s="169"/>
      <c r="AS548" s="169"/>
      <c r="AT548" s="169"/>
      <c r="AU548" s="169"/>
      <c r="AV548" s="169"/>
      <c r="AW548" s="169"/>
      <c r="AX548" s="169"/>
      <c r="AY548" s="169"/>
      <c r="AZ548" s="169"/>
      <c r="BA548" s="169"/>
      <c r="BB548" s="169"/>
      <c r="BC548" s="169"/>
      <c r="BD548" s="169"/>
      <c r="BE548" s="169"/>
      <c r="BF548" s="169"/>
      <c r="BG548" s="169"/>
      <c r="BH548" s="169"/>
      <c r="BI548" s="169"/>
      <c r="BJ548" s="169"/>
      <c r="BK548" s="169"/>
      <c r="BL548" s="169"/>
      <c r="BM548" s="169"/>
      <c r="BN548" s="170"/>
      <c r="BO548" s="251"/>
      <c r="BP548" s="364"/>
      <c r="BQ548" s="364"/>
      <c r="BR548" s="364"/>
      <c r="BS548" s="250"/>
      <c r="BT548" s="364"/>
      <c r="BU548" s="364"/>
      <c r="BV548" s="364"/>
      <c r="BW548" s="364"/>
      <c r="BX548" s="364"/>
      <c r="BY548" s="250"/>
    </row>
    <row r="549" spans="3:78" ht="15" customHeight="1" thickBot="1">
      <c r="C549" s="307"/>
      <c r="D549" s="368"/>
      <c r="E549" s="371"/>
      <c r="F549" s="407"/>
      <c r="G549" s="377"/>
      <c r="H549" s="380"/>
      <c r="I549" s="383"/>
      <c r="J549" s="383"/>
      <c r="K549" s="386"/>
      <c r="L549" s="389"/>
      <c r="M549" s="392"/>
      <c r="N549" s="280" t="s">
        <v>380</v>
      </c>
      <c r="O549" s="212"/>
      <c r="P549" s="365" t="s">
        <v>154</v>
      </c>
      <c r="Q549" s="365"/>
      <c r="R549" s="171"/>
      <c r="S549" s="171"/>
      <c r="T549" s="166"/>
      <c r="U549" s="166"/>
      <c r="V549" s="166"/>
      <c r="W549" s="166"/>
      <c r="X549" s="166"/>
      <c r="Y549" s="166"/>
      <c r="Z549" s="166"/>
      <c r="AA549" s="166"/>
      <c r="AB549" s="166"/>
      <c r="AC549" s="166"/>
      <c r="AD549" s="166"/>
      <c r="AE549" s="166"/>
      <c r="AF549" s="166"/>
      <c r="AG549" s="166"/>
      <c r="AH549" s="166"/>
      <c r="AI549" s="166"/>
      <c r="AJ549" s="166"/>
      <c r="AK549" s="166"/>
      <c r="AL549" s="166"/>
      <c r="AM549" s="166"/>
      <c r="AN549" s="166"/>
      <c r="AO549" s="166"/>
      <c r="AP549" s="166"/>
      <c r="AQ549" s="166"/>
      <c r="AR549" s="166"/>
      <c r="AS549" s="166"/>
      <c r="AT549" s="166"/>
      <c r="AU549" s="166"/>
      <c r="AV549" s="166"/>
      <c r="AW549" s="166"/>
      <c r="AX549" s="166"/>
      <c r="AY549" s="166"/>
      <c r="AZ549" s="166"/>
      <c r="BA549" s="166"/>
      <c r="BB549" s="166"/>
      <c r="BC549" s="166"/>
      <c r="BD549" s="166"/>
      <c r="BE549" s="166"/>
      <c r="BF549" s="166"/>
      <c r="BG549" s="166"/>
      <c r="BH549" s="166"/>
      <c r="BI549" s="166"/>
      <c r="BJ549" s="166"/>
      <c r="BK549" s="166"/>
      <c r="BL549" s="166"/>
      <c r="BM549" s="166"/>
      <c r="BN549" s="167"/>
      <c r="BO549" s="251"/>
      <c r="BP549" s="250"/>
      <c r="BQ549" s="250"/>
      <c r="BR549" s="250"/>
      <c r="BS549" s="250"/>
      <c r="BT549" s="250"/>
      <c r="BU549" s="250"/>
      <c r="BY549" s="250"/>
    </row>
    <row r="550" spans="3:78" ht="11.25" customHeight="1">
      <c r="C550" s="97" t="s">
        <v>1240</v>
      </c>
      <c r="D550" s="366" t="s">
        <v>1374</v>
      </c>
      <c r="E550" s="369" t="s">
        <v>199</v>
      </c>
      <c r="F550" s="405" t="s">
        <v>209</v>
      </c>
      <c r="G550" s="375" t="s">
        <v>1494</v>
      </c>
      <c r="H550" s="378" t="s">
        <v>715</v>
      </c>
      <c r="I550" s="381" t="s">
        <v>715</v>
      </c>
      <c r="J550" s="381" t="s">
        <v>716</v>
      </c>
      <c r="K550" s="384">
        <v>1</v>
      </c>
      <c r="L550" s="387" t="s">
        <v>5</v>
      </c>
      <c r="M550" s="390">
        <v>0</v>
      </c>
      <c r="N550" s="163"/>
      <c r="O550" s="161"/>
      <c r="P550" s="161"/>
      <c r="Q550" s="161"/>
      <c r="R550" s="161"/>
      <c r="S550" s="161"/>
      <c r="T550" s="161"/>
      <c r="U550" s="161"/>
      <c r="V550" s="161"/>
      <c r="W550" s="161"/>
      <c r="X550" s="161"/>
      <c r="Y550" s="161"/>
      <c r="Z550" s="161"/>
      <c r="AA550" s="161"/>
      <c r="AB550" s="161"/>
      <c r="AC550" s="161"/>
      <c r="AD550" s="161"/>
      <c r="AE550" s="161"/>
      <c r="AF550" s="161"/>
      <c r="AG550" s="161"/>
      <c r="AH550" s="161"/>
      <c r="AI550" s="161"/>
      <c r="AJ550" s="161"/>
      <c r="AK550" s="161"/>
      <c r="AL550" s="161"/>
      <c r="AM550" s="161"/>
      <c r="AN550" s="161"/>
      <c r="AO550" s="161"/>
      <c r="AP550" s="161"/>
      <c r="AQ550" s="161"/>
      <c r="AR550" s="161"/>
      <c r="AS550" s="161"/>
      <c r="AT550" s="161"/>
      <c r="AU550" s="161"/>
      <c r="AV550" s="161"/>
      <c r="AW550" s="161"/>
      <c r="AX550" s="161"/>
      <c r="AY550" s="161"/>
      <c r="AZ550" s="161"/>
      <c r="BA550" s="161"/>
      <c r="BB550" s="161"/>
      <c r="BC550" s="161"/>
      <c r="BD550" s="161"/>
      <c r="BE550" s="161"/>
      <c r="BF550" s="161"/>
      <c r="BG550" s="161"/>
      <c r="BH550" s="161"/>
      <c r="BI550" s="161"/>
      <c r="BJ550" s="161"/>
      <c r="BK550" s="161"/>
      <c r="BL550" s="161"/>
      <c r="BM550" s="161"/>
      <c r="BN550" s="162"/>
      <c r="BO550" s="251"/>
      <c r="BP550" s="250"/>
      <c r="BQ550" s="250"/>
      <c r="BR550" s="250"/>
      <c r="BS550" s="250"/>
      <c r="BT550" s="250"/>
      <c r="BU550" s="250"/>
      <c r="BY550" s="250"/>
    </row>
    <row r="551" spans="3:78" ht="11.25" customHeight="1">
      <c r="C551" s="306"/>
      <c r="D551" s="367"/>
      <c r="E551" s="370"/>
      <c r="F551" s="406"/>
      <c r="G551" s="376"/>
      <c r="H551" s="379"/>
      <c r="I551" s="382"/>
      <c r="J551" s="382"/>
      <c r="K551" s="385"/>
      <c r="L551" s="388"/>
      <c r="M551" s="391"/>
      <c r="N551" s="393"/>
      <c r="O551" s="396">
        <v>1</v>
      </c>
      <c r="P551" s="399" t="s">
        <v>1297</v>
      </c>
      <c r="Q551" s="402"/>
      <c r="R551" s="361" t="s">
        <v>154</v>
      </c>
      <c r="S551" s="361" t="s">
        <v>154</v>
      </c>
      <c r="T551" s="361" t="s">
        <v>154</v>
      </c>
      <c r="U551" s="361" t="s">
        <v>154</v>
      </c>
      <c r="V551" s="361" t="s">
        <v>154</v>
      </c>
      <c r="W551" s="361" t="s">
        <v>154</v>
      </c>
      <c r="X551" s="361" t="s">
        <v>154</v>
      </c>
      <c r="Y551" s="361" t="s">
        <v>154</v>
      </c>
      <c r="Z551" s="361" t="s">
        <v>154</v>
      </c>
      <c r="AA551" s="361" t="s">
        <v>154</v>
      </c>
      <c r="AB551" s="361" t="s">
        <v>154</v>
      </c>
      <c r="AC551" s="361" t="s">
        <v>154</v>
      </c>
      <c r="AD551" s="361" t="s">
        <v>154</v>
      </c>
      <c r="AE551" s="209"/>
      <c r="AF551" s="220">
        <v>0</v>
      </c>
      <c r="AG551" s="219" t="s">
        <v>308</v>
      </c>
      <c r="AH551" s="219"/>
      <c r="AI551" s="219"/>
      <c r="AJ551" s="219"/>
      <c r="AK551" s="219"/>
      <c r="AL551" s="219"/>
      <c r="AM551" s="219"/>
      <c r="AN551" s="219"/>
      <c r="AO551" s="219"/>
      <c r="AP551" s="164"/>
      <c r="AQ551" s="164"/>
      <c r="AR551" s="164"/>
      <c r="AS551" s="164"/>
      <c r="AT551" s="164"/>
      <c r="AU551" s="164"/>
      <c r="AV551" s="164"/>
      <c r="AW551" s="164"/>
      <c r="AX551" s="164"/>
      <c r="AY551" s="164"/>
      <c r="AZ551" s="164"/>
      <c r="BA551" s="164"/>
      <c r="BB551" s="164"/>
      <c r="BC551" s="164"/>
      <c r="BD551" s="164"/>
      <c r="BE551" s="164"/>
      <c r="BF551" s="164"/>
      <c r="BG551" s="164"/>
      <c r="BH551" s="164"/>
      <c r="BI551" s="164"/>
      <c r="BJ551" s="164"/>
      <c r="BK551" s="164"/>
      <c r="BL551" s="164"/>
      <c r="BM551" s="164"/>
      <c r="BN551" s="165"/>
      <c r="BO551" s="251"/>
      <c r="BP551" s="364" t="s">
        <v>1298</v>
      </c>
      <c r="BQ551" s="364" t="s">
        <v>1298</v>
      </c>
      <c r="BR551" s="364" t="s">
        <v>1298</v>
      </c>
      <c r="BS551" s="250"/>
      <c r="BT551" s="364" t="s">
        <v>1298</v>
      </c>
      <c r="BU551" s="364" t="s">
        <v>1298</v>
      </c>
      <c r="BV551" s="364" t="s">
        <v>1298</v>
      </c>
      <c r="BW551" s="364" t="s">
        <v>1298</v>
      </c>
      <c r="BX551" s="364" t="s">
        <v>1298</v>
      </c>
      <c r="BY551" s="250"/>
    </row>
    <row r="552" spans="3:78" ht="14.25">
      <c r="C552" s="306"/>
      <c r="D552" s="367"/>
      <c r="E552" s="370"/>
      <c r="F552" s="406"/>
      <c r="G552" s="376"/>
      <c r="H552" s="379"/>
      <c r="I552" s="382"/>
      <c r="J552" s="382"/>
      <c r="K552" s="385"/>
      <c r="L552" s="388"/>
      <c r="M552" s="391"/>
      <c r="N552" s="394"/>
      <c r="O552" s="397"/>
      <c r="P552" s="400"/>
      <c r="Q552" s="403"/>
      <c r="R552" s="362"/>
      <c r="S552" s="362"/>
      <c r="T552" s="362"/>
      <c r="U552" s="362"/>
      <c r="V552" s="362"/>
      <c r="W552" s="362"/>
      <c r="X552" s="362"/>
      <c r="Y552" s="362"/>
      <c r="Z552" s="362"/>
      <c r="AA552" s="362"/>
      <c r="AB552" s="362"/>
      <c r="AC552" s="362"/>
      <c r="AD552" s="362"/>
      <c r="AE552" s="193"/>
      <c r="AF552" s="217" t="s">
        <v>268</v>
      </c>
      <c r="AG552" s="158" t="s">
        <v>221</v>
      </c>
      <c r="AH552" s="300" t="s">
        <v>19</v>
      </c>
      <c r="AI552" s="301" t="s">
        <v>154</v>
      </c>
      <c r="AJ552" s="221"/>
      <c r="AK552" s="221"/>
      <c r="AL552" s="221"/>
      <c r="AM552" s="221"/>
      <c r="AN552" s="221"/>
      <c r="AO552" s="221"/>
      <c r="AP552" s="302" t="s">
        <v>19</v>
      </c>
      <c r="AQ552" s="195">
        <f>SUM(AT552,AW552,AZ552,BC552,BF552,BI552,BL552)</f>
        <v>124043.243800895</v>
      </c>
      <c r="AR552" s="197">
        <f>SUM(AT552,AX552,BA552,BD552,BG552,BJ552,BM552)</f>
        <v>0</v>
      </c>
      <c r="AS552" s="195">
        <f>AQ552-AR552</f>
        <v>124043.243800895</v>
      </c>
      <c r="AT552" s="312"/>
      <c r="AU552" s="312"/>
      <c r="AV552" s="244"/>
      <c r="AW552" s="159"/>
      <c r="AX552" s="312"/>
      <c r="AY552" s="194">
        <f>AW552-AX552</f>
        <v>0</v>
      </c>
      <c r="AZ552" s="160"/>
      <c r="BA552" s="312"/>
      <c r="BB552" s="194">
        <f>AZ552-BA552</f>
        <v>0</v>
      </c>
      <c r="BC552" s="159">
        <v>124043.243800895</v>
      </c>
      <c r="BD552" s="312"/>
      <c r="BE552" s="194">
        <f>BC552-BD552</f>
        <v>124043.243800895</v>
      </c>
      <c r="BF552" s="159"/>
      <c r="BG552" s="244"/>
      <c r="BH552" s="194">
        <f>BF552-BG552</f>
        <v>0</v>
      </c>
      <c r="BI552" s="159"/>
      <c r="BJ552" s="244"/>
      <c r="BK552" s="194">
        <f>BI552-BJ552</f>
        <v>0</v>
      </c>
      <c r="BL552" s="312"/>
      <c r="BM552" s="312"/>
      <c r="BN552" s="195">
        <f>BL552-BM552</f>
        <v>0</v>
      </c>
      <c r="BO552" s="251">
        <v>0</v>
      </c>
      <c r="BP552" s="364"/>
      <c r="BQ552" s="364"/>
      <c r="BR552" s="364"/>
      <c r="BS552" s="249" t="str">
        <f>AG552 &amp; BO552</f>
        <v>Амортизационные отчисления0</v>
      </c>
      <c r="BT552" s="364"/>
      <c r="BU552" s="364"/>
      <c r="BV552" s="364"/>
      <c r="BW552" s="364"/>
      <c r="BX552" s="364"/>
      <c r="BY552" s="249" t="str">
        <f>AG552&amp;AH552</f>
        <v>Амортизационные отчислениянет</v>
      </c>
      <c r="BZ552" s="250"/>
    </row>
    <row r="553" spans="3:78" ht="14.25">
      <c r="C553" s="97"/>
      <c r="D553" s="367"/>
      <c r="E553" s="370"/>
      <c r="F553" s="406"/>
      <c r="G553" s="376"/>
      <c r="H553" s="379"/>
      <c r="I553" s="382"/>
      <c r="J553" s="382"/>
      <c r="K553" s="385"/>
      <c r="L553" s="388"/>
      <c r="M553" s="391"/>
      <c r="N553" s="394"/>
      <c r="O553" s="397"/>
      <c r="P553" s="400"/>
      <c r="Q553" s="403"/>
      <c r="R553" s="362"/>
      <c r="S553" s="362"/>
      <c r="T553" s="362"/>
      <c r="U553" s="362"/>
      <c r="V553" s="362"/>
      <c r="W553" s="362"/>
      <c r="X553" s="362"/>
      <c r="Y553" s="362"/>
      <c r="Z553" s="362"/>
      <c r="AA553" s="362"/>
      <c r="AB553" s="362"/>
      <c r="AC553" s="362"/>
      <c r="AD553" s="362"/>
      <c r="AE553" s="322" t="s">
        <v>1240</v>
      </c>
      <c r="AF553" s="217" t="s">
        <v>118</v>
      </c>
      <c r="AG553" s="196" t="s">
        <v>223</v>
      </c>
      <c r="AH553" s="302" t="s">
        <v>19</v>
      </c>
      <c r="AI553" s="301" t="s">
        <v>154</v>
      </c>
      <c r="AJ553" s="221"/>
      <c r="AK553" s="221"/>
      <c r="AL553" s="221"/>
      <c r="AM553" s="221"/>
      <c r="AN553" s="221"/>
      <c r="AO553" s="221"/>
      <c r="AP553" s="302" t="s">
        <v>19</v>
      </c>
      <c r="AQ553" s="195">
        <f>SUM(AT553,AW553,AZ553,BC553,BF553,BI553,BL553)</f>
        <v>24808.648760179</v>
      </c>
      <c r="AR553" s="197">
        <f>SUM(AT553,AX553,BA553,BD553,BG553,BJ553,BM553)</f>
        <v>0</v>
      </c>
      <c r="AS553" s="195">
        <f>AQ553-AR553</f>
        <v>24808.648760179</v>
      </c>
      <c r="AT553" s="315"/>
      <c r="AU553" s="315"/>
      <c r="AV553" s="241"/>
      <c r="AW553" s="198"/>
      <c r="AX553" s="313"/>
      <c r="AY553" s="199">
        <f>AW553-AX553</f>
        <v>0</v>
      </c>
      <c r="AZ553" s="173"/>
      <c r="BA553" s="313"/>
      <c r="BB553" s="199">
        <f>AZ553-BA553</f>
        <v>0</v>
      </c>
      <c r="BC553" s="198">
        <f>148851.892561074-BC552</f>
        <v>24808.648760179</v>
      </c>
      <c r="BD553" s="313"/>
      <c r="BE553" s="199">
        <f>BC553-BD553</f>
        <v>24808.648760179</v>
      </c>
      <c r="BF553" s="198"/>
      <c r="BG553" s="241"/>
      <c r="BH553" s="199">
        <f>BF553-BG553</f>
        <v>0</v>
      </c>
      <c r="BI553" s="198"/>
      <c r="BJ553" s="241"/>
      <c r="BK553" s="199">
        <f>BI553-BJ553</f>
        <v>0</v>
      </c>
      <c r="BL553" s="313"/>
      <c r="BM553" s="313"/>
      <c r="BN553" s="195">
        <f>BL553-BM553</f>
        <v>0</v>
      </c>
      <c r="BO553" s="251">
        <v>0</v>
      </c>
      <c r="BP553" s="364"/>
      <c r="BQ553" s="364"/>
      <c r="BR553" s="364"/>
      <c r="BS553" s="249" t="str">
        <f>AG553 &amp; BO553</f>
        <v>Прочие собственные средства0</v>
      </c>
      <c r="BT553" s="364"/>
      <c r="BU553" s="364"/>
      <c r="BV553" s="364"/>
      <c r="BW553" s="364"/>
      <c r="BX553" s="364"/>
      <c r="BY553" s="249" t="str">
        <f>AG553&amp;AH553</f>
        <v>Прочие собственные средстванет</v>
      </c>
      <c r="BZ553" s="250"/>
    </row>
    <row r="554" spans="3:78" ht="15" customHeight="1">
      <c r="C554" s="306"/>
      <c r="D554" s="367"/>
      <c r="E554" s="370"/>
      <c r="F554" s="406"/>
      <c r="G554" s="376"/>
      <c r="H554" s="379"/>
      <c r="I554" s="382"/>
      <c r="J554" s="382"/>
      <c r="K554" s="385"/>
      <c r="L554" s="388"/>
      <c r="M554" s="391"/>
      <c r="N554" s="395"/>
      <c r="O554" s="398"/>
      <c r="P554" s="401"/>
      <c r="Q554" s="404"/>
      <c r="R554" s="363"/>
      <c r="S554" s="363"/>
      <c r="T554" s="363"/>
      <c r="U554" s="363"/>
      <c r="V554" s="363"/>
      <c r="W554" s="363"/>
      <c r="X554" s="363"/>
      <c r="Y554" s="363"/>
      <c r="Z554" s="363"/>
      <c r="AA554" s="363"/>
      <c r="AB554" s="363"/>
      <c r="AC554" s="363"/>
      <c r="AD554" s="363"/>
      <c r="AE554" s="279" t="s">
        <v>379</v>
      </c>
      <c r="AF554" s="203"/>
      <c r="AG554" s="223" t="s">
        <v>24</v>
      </c>
      <c r="AH554" s="223"/>
      <c r="AI554" s="223"/>
      <c r="AJ554" s="223"/>
      <c r="AK554" s="223"/>
      <c r="AL554" s="223"/>
      <c r="AM554" s="223"/>
      <c r="AN554" s="223"/>
      <c r="AO554" s="223"/>
      <c r="AP554" s="168"/>
      <c r="AQ554" s="169"/>
      <c r="AR554" s="169"/>
      <c r="AS554" s="169"/>
      <c r="AT554" s="169"/>
      <c r="AU554" s="169"/>
      <c r="AV554" s="169"/>
      <c r="AW554" s="169"/>
      <c r="AX554" s="169"/>
      <c r="AY554" s="169"/>
      <c r="AZ554" s="169"/>
      <c r="BA554" s="169"/>
      <c r="BB554" s="169"/>
      <c r="BC554" s="169"/>
      <c r="BD554" s="169"/>
      <c r="BE554" s="169"/>
      <c r="BF554" s="169"/>
      <c r="BG554" s="169"/>
      <c r="BH554" s="169"/>
      <c r="BI554" s="169"/>
      <c r="BJ554" s="169"/>
      <c r="BK554" s="169"/>
      <c r="BL554" s="169"/>
      <c r="BM554" s="169"/>
      <c r="BN554" s="170"/>
      <c r="BO554" s="251"/>
      <c r="BP554" s="364"/>
      <c r="BQ554" s="364"/>
      <c r="BR554" s="364"/>
      <c r="BS554" s="250"/>
      <c r="BT554" s="364"/>
      <c r="BU554" s="364"/>
      <c r="BV554" s="364"/>
      <c r="BW554" s="364"/>
      <c r="BX554" s="364"/>
      <c r="BY554" s="250"/>
    </row>
    <row r="555" spans="3:78" ht="15" customHeight="1" thickBot="1">
      <c r="C555" s="307"/>
      <c r="D555" s="368"/>
      <c r="E555" s="371"/>
      <c r="F555" s="407"/>
      <c r="G555" s="377"/>
      <c r="H555" s="380"/>
      <c r="I555" s="383"/>
      <c r="J555" s="383"/>
      <c r="K555" s="386"/>
      <c r="L555" s="389"/>
      <c r="M555" s="392"/>
      <c r="N555" s="280" t="s">
        <v>380</v>
      </c>
      <c r="O555" s="212"/>
      <c r="P555" s="365" t="s">
        <v>154</v>
      </c>
      <c r="Q555" s="365"/>
      <c r="R555" s="171"/>
      <c r="S555" s="171"/>
      <c r="T555" s="166"/>
      <c r="U555" s="166"/>
      <c r="V555" s="166"/>
      <c r="W555" s="166"/>
      <c r="X555" s="166"/>
      <c r="Y555" s="166"/>
      <c r="Z555" s="166"/>
      <c r="AA555" s="166"/>
      <c r="AB555" s="166"/>
      <c r="AC555" s="166"/>
      <c r="AD555" s="166"/>
      <c r="AE555" s="166"/>
      <c r="AF555" s="166"/>
      <c r="AG555" s="166"/>
      <c r="AH555" s="166"/>
      <c r="AI555" s="166"/>
      <c r="AJ555" s="166"/>
      <c r="AK555" s="166"/>
      <c r="AL555" s="166"/>
      <c r="AM555" s="166"/>
      <c r="AN555" s="166"/>
      <c r="AO555" s="166"/>
      <c r="AP555" s="166"/>
      <c r="AQ555" s="166"/>
      <c r="AR555" s="166"/>
      <c r="AS555" s="166"/>
      <c r="AT555" s="166"/>
      <c r="AU555" s="166"/>
      <c r="AV555" s="166"/>
      <c r="AW555" s="166"/>
      <c r="AX555" s="166"/>
      <c r="AY555" s="166"/>
      <c r="AZ555" s="166"/>
      <c r="BA555" s="166"/>
      <c r="BB555" s="166"/>
      <c r="BC555" s="166"/>
      <c r="BD555" s="166"/>
      <c r="BE555" s="166"/>
      <c r="BF555" s="166"/>
      <c r="BG555" s="166"/>
      <c r="BH555" s="166"/>
      <c r="BI555" s="166"/>
      <c r="BJ555" s="166"/>
      <c r="BK555" s="166"/>
      <c r="BL555" s="166"/>
      <c r="BM555" s="166"/>
      <c r="BN555" s="167"/>
      <c r="BO555" s="251"/>
      <c r="BP555" s="250"/>
      <c r="BQ555" s="250"/>
      <c r="BR555" s="250"/>
      <c r="BS555" s="250"/>
      <c r="BT555" s="250"/>
      <c r="BU555" s="250"/>
      <c r="BY555" s="250"/>
    </row>
    <row r="556" spans="3:78" ht="11.25" customHeight="1">
      <c r="C556" s="97" t="s">
        <v>1240</v>
      </c>
      <c r="D556" s="366" t="s">
        <v>1375</v>
      </c>
      <c r="E556" s="369" t="s">
        <v>199</v>
      </c>
      <c r="F556" s="405" t="s">
        <v>209</v>
      </c>
      <c r="G556" s="375" t="s">
        <v>1385</v>
      </c>
      <c r="H556" s="378" t="s">
        <v>715</v>
      </c>
      <c r="I556" s="381" t="s">
        <v>715</v>
      </c>
      <c r="J556" s="381" t="s">
        <v>716</v>
      </c>
      <c r="K556" s="384">
        <v>1</v>
      </c>
      <c r="L556" s="387" t="s">
        <v>5</v>
      </c>
      <c r="M556" s="390">
        <v>0</v>
      </c>
      <c r="N556" s="163"/>
      <c r="O556" s="161"/>
      <c r="P556" s="161"/>
      <c r="Q556" s="161"/>
      <c r="R556" s="161"/>
      <c r="S556" s="161"/>
      <c r="T556" s="161"/>
      <c r="U556" s="161"/>
      <c r="V556" s="161"/>
      <c r="W556" s="161"/>
      <c r="X556" s="161"/>
      <c r="Y556" s="161"/>
      <c r="Z556" s="161"/>
      <c r="AA556" s="161"/>
      <c r="AB556" s="161"/>
      <c r="AC556" s="161"/>
      <c r="AD556" s="161"/>
      <c r="AE556" s="161"/>
      <c r="AF556" s="161"/>
      <c r="AG556" s="161"/>
      <c r="AH556" s="161"/>
      <c r="AI556" s="161"/>
      <c r="AJ556" s="161"/>
      <c r="AK556" s="161"/>
      <c r="AL556" s="161"/>
      <c r="AM556" s="161"/>
      <c r="AN556" s="161"/>
      <c r="AO556" s="161"/>
      <c r="AP556" s="161"/>
      <c r="AQ556" s="161"/>
      <c r="AR556" s="161"/>
      <c r="AS556" s="161"/>
      <c r="AT556" s="161"/>
      <c r="AU556" s="161"/>
      <c r="AV556" s="161"/>
      <c r="AW556" s="161"/>
      <c r="AX556" s="161"/>
      <c r="AY556" s="161"/>
      <c r="AZ556" s="161"/>
      <c r="BA556" s="161"/>
      <c r="BB556" s="161"/>
      <c r="BC556" s="161"/>
      <c r="BD556" s="161"/>
      <c r="BE556" s="161"/>
      <c r="BF556" s="161"/>
      <c r="BG556" s="161"/>
      <c r="BH556" s="161"/>
      <c r="BI556" s="161"/>
      <c r="BJ556" s="161"/>
      <c r="BK556" s="161"/>
      <c r="BL556" s="161"/>
      <c r="BM556" s="161"/>
      <c r="BN556" s="162"/>
      <c r="BO556" s="251"/>
      <c r="BP556" s="250"/>
      <c r="BQ556" s="250"/>
      <c r="BR556" s="250"/>
      <c r="BS556" s="250"/>
      <c r="BT556" s="250"/>
      <c r="BU556" s="250"/>
      <c r="BY556" s="250"/>
    </row>
    <row r="557" spans="3:78" ht="11.25" customHeight="1">
      <c r="C557" s="306"/>
      <c r="D557" s="367"/>
      <c r="E557" s="370"/>
      <c r="F557" s="406"/>
      <c r="G557" s="376"/>
      <c r="H557" s="379"/>
      <c r="I557" s="382"/>
      <c r="J557" s="382"/>
      <c r="K557" s="385"/>
      <c r="L557" s="388"/>
      <c r="M557" s="391"/>
      <c r="N557" s="393"/>
      <c r="O557" s="396">
        <v>1</v>
      </c>
      <c r="P557" s="399" t="s">
        <v>1297</v>
      </c>
      <c r="Q557" s="402"/>
      <c r="R557" s="361" t="s">
        <v>154</v>
      </c>
      <c r="S557" s="361" t="s">
        <v>154</v>
      </c>
      <c r="T557" s="361" t="s">
        <v>154</v>
      </c>
      <c r="U557" s="361" t="s">
        <v>154</v>
      </c>
      <c r="V557" s="361" t="s">
        <v>154</v>
      </c>
      <c r="W557" s="361" t="s">
        <v>154</v>
      </c>
      <c r="X557" s="361" t="s">
        <v>154</v>
      </c>
      <c r="Y557" s="361" t="s">
        <v>154</v>
      </c>
      <c r="Z557" s="361" t="s">
        <v>154</v>
      </c>
      <c r="AA557" s="361" t="s">
        <v>154</v>
      </c>
      <c r="AB557" s="361" t="s">
        <v>154</v>
      </c>
      <c r="AC557" s="361" t="s">
        <v>154</v>
      </c>
      <c r="AD557" s="361" t="s">
        <v>154</v>
      </c>
      <c r="AE557" s="209"/>
      <c r="AF557" s="220">
        <v>0</v>
      </c>
      <c r="AG557" s="219" t="s">
        <v>308</v>
      </c>
      <c r="AH557" s="219"/>
      <c r="AI557" s="219"/>
      <c r="AJ557" s="219"/>
      <c r="AK557" s="219"/>
      <c r="AL557" s="219"/>
      <c r="AM557" s="219"/>
      <c r="AN557" s="219"/>
      <c r="AO557" s="219"/>
      <c r="AP557" s="164"/>
      <c r="AQ557" s="164"/>
      <c r="AR557" s="164"/>
      <c r="AS557" s="164"/>
      <c r="AT557" s="164"/>
      <c r="AU557" s="164"/>
      <c r="AV557" s="164"/>
      <c r="AW557" s="164"/>
      <c r="AX557" s="164"/>
      <c r="AY557" s="164"/>
      <c r="AZ557" s="164"/>
      <c r="BA557" s="164"/>
      <c r="BB557" s="164"/>
      <c r="BC557" s="164"/>
      <c r="BD557" s="164"/>
      <c r="BE557" s="164"/>
      <c r="BF557" s="164"/>
      <c r="BG557" s="164"/>
      <c r="BH557" s="164"/>
      <c r="BI557" s="164"/>
      <c r="BJ557" s="164"/>
      <c r="BK557" s="164"/>
      <c r="BL557" s="164"/>
      <c r="BM557" s="164"/>
      <c r="BN557" s="165"/>
      <c r="BO557" s="251"/>
      <c r="BP557" s="364" t="s">
        <v>1298</v>
      </c>
      <c r="BQ557" s="364" t="s">
        <v>1298</v>
      </c>
      <c r="BR557" s="364" t="s">
        <v>1298</v>
      </c>
      <c r="BS557" s="250"/>
      <c r="BT557" s="364" t="s">
        <v>1298</v>
      </c>
      <c r="BU557" s="364" t="s">
        <v>1298</v>
      </c>
      <c r="BV557" s="364" t="s">
        <v>1298</v>
      </c>
      <c r="BW557" s="364" t="s">
        <v>1298</v>
      </c>
      <c r="BX557" s="364" t="s">
        <v>1298</v>
      </c>
      <c r="BY557" s="250"/>
    </row>
    <row r="558" spans="3:78" ht="14.25">
      <c r="C558" s="306"/>
      <c r="D558" s="367"/>
      <c r="E558" s="370"/>
      <c r="F558" s="406"/>
      <c r="G558" s="376"/>
      <c r="H558" s="379"/>
      <c r="I558" s="382"/>
      <c r="J558" s="382"/>
      <c r="K558" s="385"/>
      <c r="L558" s="388"/>
      <c r="M558" s="391"/>
      <c r="N558" s="394"/>
      <c r="O558" s="397"/>
      <c r="P558" s="400"/>
      <c r="Q558" s="403"/>
      <c r="R558" s="362"/>
      <c r="S558" s="362"/>
      <c r="T558" s="362"/>
      <c r="U558" s="362"/>
      <c r="V558" s="362"/>
      <c r="W558" s="362"/>
      <c r="X558" s="362"/>
      <c r="Y558" s="362"/>
      <c r="Z558" s="362"/>
      <c r="AA558" s="362"/>
      <c r="AB558" s="362"/>
      <c r="AC558" s="362"/>
      <c r="AD558" s="362"/>
      <c r="AE558" s="193"/>
      <c r="AF558" s="217" t="s">
        <v>268</v>
      </c>
      <c r="AG558" s="158" t="s">
        <v>221</v>
      </c>
      <c r="AH558" s="300" t="s">
        <v>19</v>
      </c>
      <c r="AI558" s="301" t="s">
        <v>154</v>
      </c>
      <c r="AJ558" s="221"/>
      <c r="AK558" s="221"/>
      <c r="AL558" s="221"/>
      <c r="AM558" s="221"/>
      <c r="AN558" s="221"/>
      <c r="AO558" s="221"/>
      <c r="AP558" s="302" t="s">
        <v>19</v>
      </c>
      <c r="AQ558" s="195">
        <f>SUM(AT558,AW558,AZ558,BC558,BF558,BI558,BL558)</f>
        <v>94519.566517891668</v>
      </c>
      <c r="AR558" s="197">
        <f>SUM(AT558,AX558,BA558,BD558,BG558,BJ558,BM558)</f>
        <v>0</v>
      </c>
      <c r="AS558" s="195">
        <f>AQ558-AR558</f>
        <v>94519.566517891668</v>
      </c>
      <c r="AT558" s="312"/>
      <c r="AU558" s="312"/>
      <c r="AV558" s="244"/>
      <c r="AW558" s="159"/>
      <c r="AX558" s="312"/>
      <c r="AY558" s="194">
        <f>AW558-AX558</f>
        <v>0</v>
      </c>
      <c r="AZ558" s="160"/>
      <c r="BA558" s="312"/>
      <c r="BB558" s="194">
        <f>AZ558-BA558</f>
        <v>0</v>
      </c>
      <c r="BC558" s="159">
        <v>94519.566517891668</v>
      </c>
      <c r="BD558" s="312"/>
      <c r="BE558" s="194">
        <f>BC558-BD558</f>
        <v>94519.566517891668</v>
      </c>
      <c r="BF558" s="159"/>
      <c r="BG558" s="244"/>
      <c r="BH558" s="194">
        <f>BF558-BG558</f>
        <v>0</v>
      </c>
      <c r="BI558" s="159"/>
      <c r="BJ558" s="244"/>
      <c r="BK558" s="194">
        <f>BI558-BJ558</f>
        <v>0</v>
      </c>
      <c r="BL558" s="312"/>
      <c r="BM558" s="312"/>
      <c r="BN558" s="195">
        <f>BL558-BM558</f>
        <v>0</v>
      </c>
      <c r="BO558" s="251">
        <v>0</v>
      </c>
      <c r="BP558" s="364"/>
      <c r="BQ558" s="364"/>
      <c r="BR558" s="364"/>
      <c r="BS558" s="249" t="str">
        <f>AG558 &amp; BO558</f>
        <v>Амортизационные отчисления0</v>
      </c>
      <c r="BT558" s="364"/>
      <c r="BU558" s="364"/>
      <c r="BV558" s="364"/>
      <c r="BW558" s="364"/>
      <c r="BX558" s="364"/>
      <c r="BY558" s="249" t="str">
        <f>AG558&amp;AH558</f>
        <v>Амортизационные отчислениянет</v>
      </c>
      <c r="BZ558" s="250"/>
    </row>
    <row r="559" spans="3:78" ht="14.25">
      <c r="C559" s="97"/>
      <c r="D559" s="367"/>
      <c r="E559" s="370"/>
      <c r="F559" s="406"/>
      <c r="G559" s="376"/>
      <c r="H559" s="379"/>
      <c r="I559" s="382"/>
      <c r="J559" s="382"/>
      <c r="K559" s="385"/>
      <c r="L559" s="388"/>
      <c r="M559" s="391"/>
      <c r="N559" s="394"/>
      <c r="O559" s="397"/>
      <c r="P559" s="400"/>
      <c r="Q559" s="403"/>
      <c r="R559" s="362"/>
      <c r="S559" s="362"/>
      <c r="T559" s="362"/>
      <c r="U559" s="362"/>
      <c r="V559" s="362"/>
      <c r="W559" s="362"/>
      <c r="X559" s="362"/>
      <c r="Y559" s="362"/>
      <c r="Z559" s="362"/>
      <c r="AA559" s="362"/>
      <c r="AB559" s="362"/>
      <c r="AC559" s="362"/>
      <c r="AD559" s="362"/>
      <c r="AE559" s="322" t="s">
        <v>1240</v>
      </c>
      <c r="AF559" s="217" t="s">
        <v>118</v>
      </c>
      <c r="AG559" s="196" t="s">
        <v>223</v>
      </c>
      <c r="AH559" s="302" t="s">
        <v>19</v>
      </c>
      <c r="AI559" s="301" t="s">
        <v>154</v>
      </c>
      <c r="AJ559" s="221"/>
      <c r="AK559" s="221"/>
      <c r="AL559" s="221"/>
      <c r="AM559" s="221"/>
      <c r="AN559" s="221"/>
      <c r="AO559" s="221"/>
      <c r="AP559" s="302" t="s">
        <v>19</v>
      </c>
      <c r="AQ559" s="195">
        <f>SUM(AT559,AW559,AZ559,BC559,BF559,BI559,BL559)</f>
        <v>18903.913303578331</v>
      </c>
      <c r="AR559" s="197">
        <f>SUM(AT559,AX559,BA559,BD559,BG559,BJ559,BM559)</f>
        <v>0</v>
      </c>
      <c r="AS559" s="195">
        <f>AQ559-AR559</f>
        <v>18903.913303578331</v>
      </c>
      <c r="AT559" s="315"/>
      <c r="AU559" s="315"/>
      <c r="AV559" s="241"/>
      <c r="AW559" s="198"/>
      <c r="AX559" s="313"/>
      <c r="AY559" s="199">
        <f>AW559-AX559</f>
        <v>0</v>
      </c>
      <c r="AZ559" s="173"/>
      <c r="BA559" s="313"/>
      <c r="BB559" s="199">
        <f>AZ559-BA559</f>
        <v>0</v>
      </c>
      <c r="BC559" s="198">
        <f>113423.47982147-BC558</f>
        <v>18903.913303578331</v>
      </c>
      <c r="BD559" s="313"/>
      <c r="BE559" s="199">
        <f>BC559-BD559</f>
        <v>18903.913303578331</v>
      </c>
      <c r="BF559" s="198"/>
      <c r="BG559" s="241"/>
      <c r="BH559" s="199">
        <f>BF559-BG559</f>
        <v>0</v>
      </c>
      <c r="BI559" s="198"/>
      <c r="BJ559" s="241"/>
      <c r="BK559" s="199">
        <f>BI559-BJ559</f>
        <v>0</v>
      </c>
      <c r="BL559" s="313"/>
      <c r="BM559" s="313"/>
      <c r="BN559" s="195">
        <f>BL559-BM559</f>
        <v>0</v>
      </c>
      <c r="BO559" s="251">
        <v>0</v>
      </c>
      <c r="BP559" s="364"/>
      <c r="BQ559" s="364"/>
      <c r="BR559" s="364"/>
      <c r="BS559" s="249" t="str">
        <f>AG559 &amp; BO559</f>
        <v>Прочие собственные средства0</v>
      </c>
      <c r="BT559" s="364"/>
      <c r="BU559" s="364"/>
      <c r="BV559" s="364"/>
      <c r="BW559" s="364"/>
      <c r="BX559" s="364"/>
      <c r="BY559" s="249" t="str">
        <f>AG559&amp;AH559</f>
        <v>Прочие собственные средстванет</v>
      </c>
      <c r="BZ559" s="250"/>
    </row>
    <row r="560" spans="3:78" ht="15" customHeight="1">
      <c r="C560" s="306"/>
      <c r="D560" s="367"/>
      <c r="E560" s="370"/>
      <c r="F560" s="406"/>
      <c r="G560" s="376"/>
      <c r="H560" s="379"/>
      <c r="I560" s="382"/>
      <c r="J560" s="382"/>
      <c r="K560" s="385"/>
      <c r="L560" s="388"/>
      <c r="M560" s="391"/>
      <c r="N560" s="395"/>
      <c r="O560" s="398"/>
      <c r="P560" s="401"/>
      <c r="Q560" s="404"/>
      <c r="R560" s="363"/>
      <c r="S560" s="363"/>
      <c r="T560" s="363"/>
      <c r="U560" s="363"/>
      <c r="V560" s="363"/>
      <c r="W560" s="363"/>
      <c r="X560" s="363"/>
      <c r="Y560" s="363"/>
      <c r="Z560" s="363"/>
      <c r="AA560" s="363"/>
      <c r="AB560" s="363"/>
      <c r="AC560" s="363"/>
      <c r="AD560" s="363"/>
      <c r="AE560" s="279" t="s">
        <v>379</v>
      </c>
      <c r="AF560" s="203"/>
      <c r="AG560" s="223" t="s">
        <v>24</v>
      </c>
      <c r="AH560" s="223"/>
      <c r="AI560" s="223"/>
      <c r="AJ560" s="223"/>
      <c r="AK560" s="223"/>
      <c r="AL560" s="223"/>
      <c r="AM560" s="223"/>
      <c r="AN560" s="223"/>
      <c r="AO560" s="223"/>
      <c r="AP560" s="168"/>
      <c r="AQ560" s="169"/>
      <c r="AR560" s="169"/>
      <c r="AS560" s="169"/>
      <c r="AT560" s="169"/>
      <c r="AU560" s="169"/>
      <c r="AV560" s="169"/>
      <c r="AW560" s="169"/>
      <c r="AX560" s="169"/>
      <c r="AY560" s="169"/>
      <c r="AZ560" s="169"/>
      <c r="BA560" s="169"/>
      <c r="BB560" s="169"/>
      <c r="BC560" s="169"/>
      <c r="BD560" s="169"/>
      <c r="BE560" s="169"/>
      <c r="BF560" s="169"/>
      <c r="BG560" s="169"/>
      <c r="BH560" s="169"/>
      <c r="BI560" s="169"/>
      <c r="BJ560" s="169"/>
      <c r="BK560" s="169"/>
      <c r="BL560" s="169"/>
      <c r="BM560" s="169"/>
      <c r="BN560" s="170"/>
      <c r="BO560" s="251"/>
      <c r="BP560" s="364"/>
      <c r="BQ560" s="364"/>
      <c r="BR560" s="364"/>
      <c r="BS560" s="250"/>
      <c r="BT560" s="364"/>
      <c r="BU560" s="364"/>
      <c r="BV560" s="364"/>
      <c r="BW560" s="364"/>
      <c r="BX560" s="364"/>
      <c r="BY560" s="250"/>
    </row>
    <row r="561" spans="3:78" ht="15" customHeight="1" thickBot="1">
      <c r="C561" s="307"/>
      <c r="D561" s="368"/>
      <c r="E561" s="371"/>
      <c r="F561" s="407"/>
      <c r="G561" s="377"/>
      <c r="H561" s="380"/>
      <c r="I561" s="383"/>
      <c r="J561" s="383"/>
      <c r="K561" s="386"/>
      <c r="L561" s="389"/>
      <c r="M561" s="392"/>
      <c r="N561" s="280" t="s">
        <v>380</v>
      </c>
      <c r="O561" s="212"/>
      <c r="P561" s="365" t="s">
        <v>154</v>
      </c>
      <c r="Q561" s="365"/>
      <c r="R561" s="171"/>
      <c r="S561" s="171"/>
      <c r="T561" s="166"/>
      <c r="U561" s="166"/>
      <c r="V561" s="166"/>
      <c r="W561" s="166"/>
      <c r="X561" s="166"/>
      <c r="Y561" s="166"/>
      <c r="Z561" s="166"/>
      <c r="AA561" s="166"/>
      <c r="AB561" s="166"/>
      <c r="AC561" s="166"/>
      <c r="AD561" s="166"/>
      <c r="AE561" s="166"/>
      <c r="AF561" s="166"/>
      <c r="AG561" s="166"/>
      <c r="AH561" s="166"/>
      <c r="AI561" s="166"/>
      <c r="AJ561" s="166"/>
      <c r="AK561" s="166"/>
      <c r="AL561" s="166"/>
      <c r="AM561" s="166"/>
      <c r="AN561" s="166"/>
      <c r="AO561" s="166"/>
      <c r="AP561" s="166"/>
      <c r="AQ561" s="166"/>
      <c r="AR561" s="166"/>
      <c r="AS561" s="166"/>
      <c r="AT561" s="166"/>
      <c r="AU561" s="166"/>
      <c r="AV561" s="166"/>
      <c r="AW561" s="166"/>
      <c r="AX561" s="166"/>
      <c r="AY561" s="166"/>
      <c r="AZ561" s="166"/>
      <c r="BA561" s="166"/>
      <c r="BB561" s="166"/>
      <c r="BC561" s="166"/>
      <c r="BD561" s="166"/>
      <c r="BE561" s="166"/>
      <c r="BF561" s="166"/>
      <c r="BG561" s="166"/>
      <c r="BH561" s="166"/>
      <c r="BI561" s="166"/>
      <c r="BJ561" s="166"/>
      <c r="BK561" s="166"/>
      <c r="BL561" s="166"/>
      <c r="BM561" s="166"/>
      <c r="BN561" s="167"/>
      <c r="BO561" s="251"/>
      <c r="BP561" s="250"/>
      <c r="BQ561" s="250"/>
      <c r="BR561" s="250"/>
      <c r="BS561" s="250"/>
      <c r="BT561" s="250"/>
      <c r="BU561" s="250"/>
      <c r="BY561" s="250"/>
    </row>
    <row r="562" spans="3:78" ht="11.25" customHeight="1">
      <c r="C562" s="97" t="s">
        <v>1240</v>
      </c>
      <c r="D562" s="366" t="s">
        <v>1376</v>
      </c>
      <c r="E562" s="369" t="s">
        <v>199</v>
      </c>
      <c r="F562" s="405" t="s">
        <v>209</v>
      </c>
      <c r="G562" s="375" t="s">
        <v>1386</v>
      </c>
      <c r="H562" s="378" t="s">
        <v>715</v>
      </c>
      <c r="I562" s="381" t="s">
        <v>715</v>
      </c>
      <c r="J562" s="381" t="s">
        <v>716</v>
      </c>
      <c r="K562" s="384">
        <v>1</v>
      </c>
      <c r="L562" s="387" t="s">
        <v>5</v>
      </c>
      <c r="M562" s="390">
        <v>0</v>
      </c>
      <c r="N562" s="163"/>
      <c r="O562" s="161"/>
      <c r="P562" s="161"/>
      <c r="Q562" s="161"/>
      <c r="R562" s="161"/>
      <c r="S562" s="161"/>
      <c r="T562" s="161"/>
      <c r="U562" s="161"/>
      <c r="V562" s="161"/>
      <c r="W562" s="161"/>
      <c r="X562" s="161"/>
      <c r="Y562" s="161"/>
      <c r="Z562" s="161"/>
      <c r="AA562" s="161"/>
      <c r="AB562" s="161"/>
      <c r="AC562" s="161"/>
      <c r="AD562" s="161"/>
      <c r="AE562" s="161"/>
      <c r="AF562" s="161"/>
      <c r="AG562" s="161"/>
      <c r="AH562" s="161"/>
      <c r="AI562" s="161"/>
      <c r="AJ562" s="161"/>
      <c r="AK562" s="161"/>
      <c r="AL562" s="161"/>
      <c r="AM562" s="161"/>
      <c r="AN562" s="161"/>
      <c r="AO562" s="161"/>
      <c r="AP562" s="161"/>
      <c r="AQ562" s="161"/>
      <c r="AR562" s="161"/>
      <c r="AS562" s="161"/>
      <c r="AT562" s="161"/>
      <c r="AU562" s="161"/>
      <c r="AV562" s="161"/>
      <c r="AW562" s="161"/>
      <c r="AX562" s="161"/>
      <c r="AY562" s="161"/>
      <c r="AZ562" s="161"/>
      <c r="BA562" s="161"/>
      <c r="BB562" s="161"/>
      <c r="BC562" s="161"/>
      <c r="BD562" s="161"/>
      <c r="BE562" s="161"/>
      <c r="BF562" s="161"/>
      <c r="BG562" s="161"/>
      <c r="BH562" s="161"/>
      <c r="BI562" s="161"/>
      <c r="BJ562" s="161"/>
      <c r="BK562" s="161"/>
      <c r="BL562" s="161"/>
      <c r="BM562" s="161"/>
      <c r="BN562" s="162"/>
      <c r="BO562" s="251"/>
      <c r="BP562" s="250"/>
      <c r="BQ562" s="250"/>
      <c r="BR562" s="250"/>
      <c r="BS562" s="250"/>
      <c r="BT562" s="250"/>
      <c r="BU562" s="250"/>
      <c r="BY562" s="250"/>
    </row>
    <row r="563" spans="3:78" ht="11.25" customHeight="1">
      <c r="C563" s="306"/>
      <c r="D563" s="367"/>
      <c r="E563" s="370"/>
      <c r="F563" s="406"/>
      <c r="G563" s="376"/>
      <c r="H563" s="379"/>
      <c r="I563" s="382"/>
      <c r="J563" s="382"/>
      <c r="K563" s="385"/>
      <c r="L563" s="388"/>
      <c r="M563" s="391"/>
      <c r="N563" s="393"/>
      <c r="O563" s="396">
        <v>1</v>
      </c>
      <c r="P563" s="399" t="s">
        <v>1297</v>
      </c>
      <c r="Q563" s="402"/>
      <c r="R563" s="361" t="s">
        <v>154</v>
      </c>
      <c r="S563" s="361" t="s">
        <v>154</v>
      </c>
      <c r="T563" s="361" t="s">
        <v>154</v>
      </c>
      <c r="U563" s="361" t="s">
        <v>154</v>
      </c>
      <c r="V563" s="361" t="s">
        <v>154</v>
      </c>
      <c r="W563" s="361" t="s">
        <v>154</v>
      </c>
      <c r="X563" s="361" t="s">
        <v>154</v>
      </c>
      <c r="Y563" s="361" t="s">
        <v>154</v>
      </c>
      <c r="Z563" s="361" t="s">
        <v>154</v>
      </c>
      <c r="AA563" s="361" t="s">
        <v>154</v>
      </c>
      <c r="AB563" s="361" t="s">
        <v>154</v>
      </c>
      <c r="AC563" s="361" t="s">
        <v>154</v>
      </c>
      <c r="AD563" s="361" t="s">
        <v>154</v>
      </c>
      <c r="AE563" s="209"/>
      <c r="AF563" s="220">
        <v>0</v>
      </c>
      <c r="AG563" s="219" t="s">
        <v>308</v>
      </c>
      <c r="AH563" s="219"/>
      <c r="AI563" s="219"/>
      <c r="AJ563" s="219"/>
      <c r="AK563" s="219"/>
      <c r="AL563" s="219"/>
      <c r="AM563" s="219"/>
      <c r="AN563" s="219"/>
      <c r="AO563" s="219"/>
      <c r="AP563" s="164"/>
      <c r="AQ563" s="164"/>
      <c r="AR563" s="164"/>
      <c r="AS563" s="164"/>
      <c r="AT563" s="164"/>
      <c r="AU563" s="164"/>
      <c r="AV563" s="164"/>
      <c r="AW563" s="164"/>
      <c r="AX563" s="164"/>
      <c r="AY563" s="164"/>
      <c r="AZ563" s="164"/>
      <c r="BA563" s="164"/>
      <c r="BB563" s="164"/>
      <c r="BC563" s="164"/>
      <c r="BD563" s="164"/>
      <c r="BE563" s="164"/>
      <c r="BF563" s="164"/>
      <c r="BG563" s="164"/>
      <c r="BH563" s="164"/>
      <c r="BI563" s="164"/>
      <c r="BJ563" s="164"/>
      <c r="BK563" s="164"/>
      <c r="BL563" s="164"/>
      <c r="BM563" s="164"/>
      <c r="BN563" s="165"/>
      <c r="BO563" s="251"/>
      <c r="BP563" s="364" t="s">
        <v>1298</v>
      </c>
      <c r="BQ563" s="364" t="s">
        <v>1298</v>
      </c>
      <c r="BR563" s="364" t="s">
        <v>1298</v>
      </c>
      <c r="BS563" s="250"/>
      <c r="BT563" s="364" t="s">
        <v>1298</v>
      </c>
      <c r="BU563" s="364" t="s">
        <v>1298</v>
      </c>
      <c r="BV563" s="364" t="s">
        <v>1298</v>
      </c>
      <c r="BW563" s="364" t="s">
        <v>1298</v>
      </c>
      <c r="BX563" s="364" t="s">
        <v>1298</v>
      </c>
      <c r="BY563" s="250"/>
    </row>
    <row r="564" spans="3:78" ht="14.25">
      <c r="C564" s="306"/>
      <c r="D564" s="367"/>
      <c r="E564" s="370"/>
      <c r="F564" s="406"/>
      <c r="G564" s="376"/>
      <c r="H564" s="379"/>
      <c r="I564" s="382"/>
      <c r="J564" s="382"/>
      <c r="K564" s="385"/>
      <c r="L564" s="388"/>
      <c r="M564" s="391"/>
      <c r="N564" s="394"/>
      <c r="O564" s="397"/>
      <c r="P564" s="400"/>
      <c r="Q564" s="403"/>
      <c r="R564" s="362"/>
      <c r="S564" s="362"/>
      <c r="T564" s="362"/>
      <c r="U564" s="362"/>
      <c r="V564" s="362"/>
      <c r="W564" s="362"/>
      <c r="X564" s="362"/>
      <c r="Y564" s="362"/>
      <c r="Z564" s="362"/>
      <c r="AA564" s="362"/>
      <c r="AB564" s="362"/>
      <c r="AC564" s="362"/>
      <c r="AD564" s="362"/>
      <c r="AE564" s="193"/>
      <c r="AF564" s="217" t="s">
        <v>268</v>
      </c>
      <c r="AG564" s="158" t="s">
        <v>221</v>
      </c>
      <c r="AH564" s="300" t="s">
        <v>19</v>
      </c>
      <c r="AI564" s="301" t="s">
        <v>154</v>
      </c>
      <c r="AJ564" s="221"/>
      <c r="AK564" s="221"/>
      <c r="AL564" s="221"/>
      <c r="AM564" s="221"/>
      <c r="AN564" s="221"/>
      <c r="AO564" s="221"/>
      <c r="AP564" s="302" t="s">
        <v>19</v>
      </c>
      <c r="AQ564" s="195">
        <f>SUM(AT564,AW564,AZ564,BC564,BF564,BI564,BL564)</f>
        <v>5024.2816404556752</v>
      </c>
      <c r="AR564" s="197">
        <f>SUM(AT564,AX564,BA564,BD564,BG564,BJ564,BM564)</f>
        <v>0</v>
      </c>
      <c r="AS564" s="195">
        <f>AQ564-AR564</f>
        <v>5024.2816404556752</v>
      </c>
      <c r="AT564" s="312"/>
      <c r="AU564" s="312"/>
      <c r="AV564" s="244"/>
      <c r="AW564" s="159"/>
      <c r="AX564" s="312"/>
      <c r="AY564" s="194">
        <f>AW564-AX564</f>
        <v>0</v>
      </c>
      <c r="AZ564" s="160"/>
      <c r="BA564" s="312"/>
      <c r="BB564" s="194">
        <f>AZ564-BA564</f>
        <v>0</v>
      </c>
      <c r="BC564" s="159">
        <v>5024.2816404556752</v>
      </c>
      <c r="BD564" s="312"/>
      <c r="BE564" s="194">
        <f>BC564-BD564</f>
        <v>5024.2816404556752</v>
      </c>
      <c r="BF564" s="159"/>
      <c r="BG564" s="244"/>
      <c r="BH564" s="194">
        <f>BF564-BG564</f>
        <v>0</v>
      </c>
      <c r="BI564" s="159"/>
      <c r="BJ564" s="244"/>
      <c r="BK564" s="194">
        <f>BI564-BJ564</f>
        <v>0</v>
      </c>
      <c r="BL564" s="312"/>
      <c r="BM564" s="312"/>
      <c r="BN564" s="195">
        <f>BL564-BM564</f>
        <v>0</v>
      </c>
      <c r="BO564" s="251">
        <v>0</v>
      </c>
      <c r="BP564" s="364"/>
      <c r="BQ564" s="364"/>
      <c r="BR564" s="364"/>
      <c r="BS564" s="249" t="str">
        <f>AG564 &amp; BO564</f>
        <v>Амортизационные отчисления0</v>
      </c>
      <c r="BT564" s="364"/>
      <c r="BU564" s="364"/>
      <c r="BV564" s="364"/>
      <c r="BW564" s="364"/>
      <c r="BX564" s="364"/>
      <c r="BY564" s="249" t="str">
        <f>AG564&amp;AH564</f>
        <v>Амортизационные отчислениянет</v>
      </c>
      <c r="BZ564" s="250"/>
    </row>
    <row r="565" spans="3:78" ht="14.25">
      <c r="C565" s="97"/>
      <c r="D565" s="367"/>
      <c r="E565" s="370"/>
      <c r="F565" s="406"/>
      <c r="G565" s="376"/>
      <c r="H565" s="379"/>
      <c r="I565" s="382"/>
      <c r="J565" s="382"/>
      <c r="K565" s="385"/>
      <c r="L565" s="388"/>
      <c r="M565" s="391"/>
      <c r="N565" s="394"/>
      <c r="O565" s="397"/>
      <c r="P565" s="400"/>
      <c r="Q565" s="403"/>
      <c r="R565" s="362"/>
      <c r="S565" s="362"/>
      <c r="T565" s="362"/>
      <c r="U565" s="362"/>
      <c r="V565" s="362"/>
      <c r="W565" s="362"/>
      <c r="X565" s="362"/>
      <c r="Y565" s="362"/>
      <c r="Z565" s="362"/>
      <c r="AA565" s="362"/>
      <c r="AB565" s="362"/>
      <c r="AC565" s="362"/>
      <c r="AD565" s="362"/>
      <c r="AE565" s="322" t="s">
        <v>1240</v>
      </c>
      <c r="AF565" s="217" t="s">
        <v>118</v>
      </c>
      <c r="AG565" s="196" t="s">
        <v>223</v>
      </c>
      <c r="AH565" s="302" t="s">
        <v>19</v>
      </c>
      <c r="AI565" s="301" t="s">
        <v>154</v>
      </c>
      <c r="AJ565" s="221"/>
      <c r="AK565" s="221"/>
      <c r="AL565" s="221"/>
      <c r="AM565" s="221"/>
      <c r="AN565" s="221"/>
      <c r="AO565" s="221"/>
      <c r="AP565" s="302" t="s">
        <v>19</v>
      </c>
      <c r="AQ565" s="195">
        <f>SUM(AT565,AW565,AZ565,BC565,BF565,BI565,BL565)</f>
        <v>1004.8563280911349</v>
      </c>
      <c r="AR565" s="197">
        <f>SUM(AT565,AX565,BA565,BD565,BG565,BJ565,BM565)</f>
        <v>0</v>
      </c>
      <c r="AS565" s="195">
        <f>AQ565-AR565</f>
        <v>1004.8563280911349</v>
      </c>
      <c r="AT565" s="315"/>
      <c r="AU565" s="315"/>
      <c r="AV565" s="241"/>
      <c r="AW565" s="198"/>
      <c r="AX565" s="313"/>
      <c r="AY565" s="199">
        <f>AW565-AX565</f>
        <v>0</v>
      </c>
      <c r="AZ565" s="173"/>
      <c r="BA565" s="313"/>
      <c r="BB565" s="199">
        <f>AZ565-BA565</f>
        <v>0</v>
      </c>
      <c r="BC565" s="198">
        <f>6029.13796854681-BC564</f>
        <v>1004.8563280911349</v>
      </c>
      <c r="BD565" s="313"/>
      <c r="BE565" s="199">
        <f>BC565-BD565</f>
        <v>1004.8563280911349</v>
      </c>
      <c r="BF565" s="198"/>
      <c r="BG565" s="241"/>
      <c r="BH565" s="199">
        <f>BF565-BG565</f>
        <v>0</v>
      </c>
      <c r="BI565" s="198"/>
      <c r="BJ565" s="241"/>
      <c r="BK565" s="199">
        <f>BI565-BJ565</f>
        <v>0</v>
      </c>
      <c r="BL565" s="313"/>
      <c r="BM565" s="313"/>
      <c r="BN565" s="195">
        <f>BL565-BM565</f>
        <v>0</v>
      </c>
      <c r="BO565" s="251">
        <v>0</v>
      </c>
      <c r="BP565" s="364"/>
      <c r="BQ565" s="364"/>
      <c r="BR565" s="364"/>
      <c r="BS565" s="249" t="str">
        <f>AG565 &amp; BO565</f>
        <v>Прочие собственные средства0</v>
      </c>
      <c r="BT565" s="364"/>
      <c r="BU565" s="364"/>
      <c r="BV565" s="364"/>
      <c r="BW565" s="364"/>
      <c r="BX565" s="364"/>
      <c r="BY565" s="249" t="str">
        <f>AG565&amp;AH565</f>
        <v>Прочие собственные средстванет</v>
      </c>
      <c r="BZ565" s="250"/>
    </row>
    <row r="566" spans="3:78" ht="15" customHeight="1">
      <c r="C566" s="306"/>
      <c r="D566" s="367"/>
      <c r="E566" s="370"/>
      <c r="F566" s="406"/>
      <c r="G566" s="376"/>
      <c r="H566" s="379"/>
      <c r="I566" s="382"/>
      <c r="J566" s="382"/>
      <c r="K566" s="385"/>
      <c r="L566" s="388"/>
      <c r="M566" s="391"/>
      <c r="N566" s="395"/>
      <c r="O566" s="398"/>
      <c r="P566" s="401"/>
      <c r="Q566" s="404"/>
      <c r="R566" s="363"/>
      <c r="S566" s="363"/>
      <c r="T566" s="363"/>
      <c r="U566" s="363"/>
      <c r="V566" s="363"/>
      <c r="W566" s="363"/>
      <c r="X566" s="363"/>
      <c r="Y566" s="363"/>
      <c r="Z566" s="363"/>
      <c r="AA566" s="363"/>
      <c r="AB566" s="363"/>
      <c r="AC566" s="363"/>
      <c r="AD566" s="363"/>
      <c r="AE566" s="279" t="s">
        <v>379</v>
      </c>
      <c r="AF566" s="203"/>
      <c r="AG566" s="223" t="s">
        <v>24</v>
      </c>
      <c r="AH566" s="223"/>
      <c r="AI566" s="223"/>
      <c r="AJ566" s="223"/>
      <c r="AK566" s="223"/>
      <c r="AL566" s="223"/>
      <c r="AM566" s="223"/>
      <c r="AN566" s="223"/>
      <c r="AO566" s="223"/>
      <c r="AP566" s="168"/>
      <c r="AQ566" s="169"/>
      <c r="AR566" s="169"/>
      <c r="AS566" s="169"/>
      <c r="AT566" s="169"/>
      <c r="AU566" s="169"/>
      <c r="AV566" s="169"/>
      <c r="AW566" s="169"/>
      <c r="AX566" s="169"/>
      <c r="AY566" s="169"/>
      <c r="AZ566" s="169"/>
      <c r="BA566" s="169"/>
      <c r="BB566" s="169"/>
      <c r="BC566" s="169"/>
      <c r="BD566" s="169"/>
      <c r="BE566" s="169"/>
      <c r="BF566" s="169"/>
      <c r="BG566" s="169"/>
      <c r="BH566" s="169"/>
      <c r="BI566" s="169"/>
      <c r="BJ566" s="169"/>
      <c r="BK566" s="169"/>
      <c r="BL566" s="169"/>
      <c r="BM566" s="169"/>
      <c r="BN566" s="170"/>
      <c r="BO566" s="251"/>
      <c r="BP566" s="364"/>
      <c r="BQ566" s="364"/>
      <c r="BR566" s="364"/>
      <c r="BS566" s="250"/>
      <c r="BT566" s="364"/>
      <c r="BU566" s="364"/>
      <c r="BV566" s="364"/>
      <c r="BW566" s="364"/>
      <c r="BX566" s="364"/>
      <c r="BY566" s="250"/>
    </row>
    <row r="567" spans="3:78" ht="15" customHeight="1" thickBot="1">
      <c r="C567" s="307"/>
      <c r="D567" s="368"/>
      <c r="E567" s="371"/>
      <c r="F567" s="407"/>
      <c r="G567" s="377"/>
      <c r="H567" s="380"/>
      <c r="I567" s="383"/>
      <c r="J567" s="383"/>
      <c r="K567" s="386"/>
      <c r="L567" s="389"/>
      <c r="M567" s="392"/>
      <c r="N567" s="280" t="s">
        <v>380</v>
      </c>
      <c r="O567" s="212"/>
      <c r="P567" s="365" t="s">
        <v>154</v>
      </c>
      <c r="Q567" s="365"/>
      <c r="R567" s="171"/>
      <c r="S567" s="171"/>
      <c r="T567" s="166"/>
      <c r="U567" s="166"/>
      <c r="V567" s="166"/>
      <c r="W567" s="166"/>
      <c r="X567" s="166"/>
      <c r="Y567" s="166"/>
      <c r="Z567" s="166"/>
      <c r="AA567" s="166"/>
      <c r="AB567" s="166"/>
      <c r="AC567" s="166"/>
      <c r="AD567" s="166"/>
      <c r="AE567" s="166"/>
      <c r="AF567" s="166"/>
      <c r="AG567" s="166"/>
      <c r="AH567" s="166"/>
      <c r="AI567" s="166"/>
      <c r="AJ567" s="166"/>
      <c r="AK567" s="166"/>
      <c r="AL567" s="166"/>
      <c r="AM567" s="166"/>
      <c r="AN567" s="166"/>
      <c r="AO567" s="166"/>
      <c r="AP567" s="166"/>
      <c r="AQ567" s="166"/>
      <c r="AR567" s="166"/>
      <c r="AS567" s="166"/>
      <c r="AT567" s="166"/>
      <c r="AU567" s="166"/>
      <c r="AV567" s="166"/>
      <c r="AW567" s="166"/>
      <c r="AX567" s="166"/>
      <c r="AY567" s="166"/>
      <c r="AZ567" s="166"/>
      <c r="BA567" s="166"/>
      <c r="BB567" s="166"/>
      <c r="BC567" s="166"/>
      <c r="BD567" s="166"/>
      <c r="BE567" s="166"/>
      <c r="BF567" s="166"/>
      <c r="BG567" s="166"/>
      <c r="BH567" s="166"/>
      <c r="BI567" s="166"/>
      <c r="BJ567" s="166"/>
      <c r="BK567" s="166"/>
      <c r="BL567" s="166"/>
      <c r="BM567" s="166"/>
      <c r="BN567" s="167"/>
      <c r="BO567" s="251"/>
      <c r="BP567" s="250"/>
      <c r="BQ567" s="250"/>
      <c r="BR567" s="250"/>
      <c r="BS567" s="250"/>
      <c r="BT567" s="250"/>
      <c r="BU567" s="250"/>
      <c r="BY567" s="250"/>
    </row>
    <row r="568" spans="3:78" ht="11.25" customHeight="1">
      <c r="C568" s="97" t="s">
        <v>1240</v>
      </c>
      <c r="D568" s="366" t="s">
        <v>1377</v>
      </c>
      <c r="E568" s="369" t="s">
        <v>199</v>
      </c>
      <c r="F568" s="405" t="s">
        <v>209</v>
      </c>
      <c r="G568" s="375" t="s">
        <v>1495</v>
      </c>
      <c r="H568" s="378" t="s">
        <v>715</v>
      </c>
      <c r="I568" s="381" t="s">
        <v>715</v>
      </c>
      <c r="J568" s="381" t="s">
        <v>716</v>
      </c>
      <c r="K568" s="384">
        <v>2</v>
      </c>
      <c r="L568" s="387" t="s">
        <v>5</v>
      </c>
      <c r="M568" s="390">
        <v>0</v>
      </c>
      <c r="N568" s="163"/>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1"/>
      <c r="AL568" s="161"/>
      <c r="AM568" s="161"/>
      <c r="AN568" s="161"/>
      <c r="AO568" s="161"/>
      <c r="AP568" s="161"/>
      <c r="AQ568" s="161"/>
      <c r="AR568" s="161"/>
      <c r="AS568" s="161"/>
      <c r="AT568" s="161"/>
      <c r="AU568" s="161"/>
      <c r="AV568" s="161"/>
      <c r="AW568" s="161"/>
      <c r="AX568" s="161"/>
      <c r="AY568" s="161"/>
      <c r="AZ568" s="161"/>
      <c r="BA568" s="161"/>
      <c r="BB568" s="161"/>
      <c r="BC568" s="161"/>
      <c r="BD568" s="161"/>
      <c r="BE568" s="161"/>
      <c r="BF568" s="161"/>
      <c r="BG568" s="161"/>
      <c r="BH568" s="161"/>
      <c r="BI568" s="161"/>
      <c r="BJ568" s="161"/>
      <c r="BK568" s="161"/>
      <c r="BL568" s="161"/>
      <c r="BM568" s="161"/>
      <c r="BN568" s="162"/>
      <c r="BO568" s="251"/>
      <c r="BP568" s="250"/>
      <c r="BQ568" s="250"/>
      <c r="BR568" s="250"/>
      <c r="BS568" s="250"/>
      <c r="BT568" s="250"/>
      <c r="BU568" s="250"/>
      <c r="BY568" s="250"/>
    </row>
    <row r="569" spans="3:78" ht="11.25" customHeight="1">
      <c r="C569" s="306"/>
      <c r="D569" s="367"/>
      <c r="E569" s="370"/>
      <c r="F569" s="406"/>
      <c r="G569" s="376"/>
      <c r="H569" s="379"/>
      <c r="I569" s="382"/>
      <c r="J569" s="382"/>
      <c r="K569" s="385"/>
      <c r="L569" s="388"/>
      <c r="M569" s="391"/>
      <c r="N569" s="393"/>
      <c r="O569" s="396">
        <v>1</v>
      </c>
      <c r="P569" s="399" t="s">
        <v>1297</v>
      </c>
      <c r="Q569" s="402"/>
      <c r="R569" s="361" t="s">
        <v>154</v>
      </c>
      <c r="S569" s="361" t="s">
        <v>154</v>
      </c>
      <c r="T569" s="361" t="s">
        <v>154</v>
      </c>
      <c r="U569" s="361" t="s">
        <v>154</v>
      </c>
      <c r="V569" s="361" t="s">
        <v>154</v>
      </c>
      <c r="W569" s="361" t="s">
        <v>154</v>
      </c>
      <c r="X569" s="361" t="s">
        <v>154</v>
      </c>
      <c r="Y569" s="361" t="s">
        <v>154</v>
      </c>
      <c r="Z569" s="361" t="s">
        <v>154</v>
      </c>
      <c r="AA569" s="361" t="s">
        <v>154</v>
      </c>
      <c r="AB569" s="361" t="s">
        <v>154</v>
      </c>
      <c r="AC569" s="361" t="s">
        <v>154</v>
      </c>
      <c r="AD569" s="361" t="s">
        <v>154</v>
      </c>
      <c r="AE569" s="209"/>
      <c r="AF569" s="220">
        <v>0</v>
      </c>
      <c r="AG569" s="219" t="s">
        <v>308</v>
      </c>
      <c r="AH569" s="219"/>
      <c r="AI569" s="219"/>
      <c r="AJ569" s="219"/>
      <c r="AK569" s="219"/>
      <c r="AL569" s="219"/>
      <c r="AM569" s="219"/>
      <c r="AN569" s="219"/>
      <c r="AO569" s="219"/>
      <c r="AP569" s="164"/>
      <c r="AQ569" s="164"/>
      <c r="AR569" s="164"/>
      <c r="AS569" s="164"/>
      <c r="AT569" s="164"/>
      <c r="AU569" s="164"/>
      <c r="AV569" s="164"/>
      <c r="AW569" s="164"/>
      <c r="AX569" s="164"/>
      <c r="AY569" s="164"/>
      <c r="AZ569" s="164"/>
      <c r="BA569" s="164"/>
      <c r="BB569" s="164"/>
      <c r="BC569" s="164"/>
      <c r="BD569" s="164"/>
      <c r="BE569" s="164"/>
      <c r="BF569" s="164"/>
      <c r="BG569" s="164"/>
      <c r="BH569" s="164"/>
      <c r="BI569" s="164"/>
      <c r="BJ569" s="164"/>
      <c r="BK569" s="164"/>
      <c r="BL569" s="164"/>
      <c r="BM569" s="164"/>
      <c r="BN569" s="165"/>
      <c r="BO569" s="251"/>
      <c r="BP569" s="364" t="s">
        <v>1298</v>
      </c>
      <c r="BQ569" s="364" t="s">
        <v>1298</v>
      </c>
      <c r="BR569" s="364" t="s">
        <v>1298</v>
      </c>
      <c r="BS569" s="250"/>
      <c r="BT569" s="364" t="s">
        <v>1298</v>
      </c>
      <c r="BU569" s="364" t="s">
        <v>1298</v>
      </c>
      <c r="BV569" s="364" t="s">
        <v>1298</v>
      </c>
      <c r="BW569" s="364" t="s">
        <v>1298</v>
      </c>
      <c r="BX569" s="364" t="s">
        <v>1298</v>
      </c>
      <c r="BY569" s="250"/>
    </row>
    <row r="570" spans="3:78" ht="14.25">
      <c r="C570" s="306"/>
      <c r="D570" s="367"/>
      <c r="E570" s="370"/>
      <c r="F570" s="406"/>
      <c r="G570" s="376"/>
      <c r="H570" s="379"/>
      <c r="I570" s="382"/>
      <c r="J570" s="382"/>
      <c r="K570" s="385"/>
      <c r="L570" s="388"/>
      <c r="M570" s="391"/>
      <c r="N570" s="394"/>
      <c r="O570" s="397"/>
      <c r="P570" s="400"/>
      <c r="Q570" s="403"/>
      <c r="R570" s="362"/>
      <c r="S570" s="362"/>
      <c r="T570" s="362"/>
      <c r="U570" s="362"/>
      <c r="V570" s="362"/>
      <c r="W570" s="362"/>
      <c r="X570" s="362"/>
      <c r="Y570" s="362"/>
      <c r="Z570" s="362"/>
      <c r="AA570" s="362"/>
      <c r="AB570" s="362"/>
      <c r="AC570" s="362"/>
      <c r="AD570" s="362"/>
      <c r="AE570" s="193"/>
      <c r="AF570" s="217" t="s">
        <v>268</v>
      </c>
      <c r="AG570" s="158" t="s">
        <v>221</v>
      </c>
      <c r="AH570" s="300" t="s">
        <v>19</v>
      </c>
      <c r="AI570" s="301" t="s">
        <v>154</v>
      </c>
      <c r="AJ570" s="221"/>
      <c r="AK570" s="221"/>
      <c r="AL570" s="221"/>
      <c r="AM570" s="221"/>
      <c r="AN570" s="221"/>
      <c r="AO570" s="221"/>
      <c r="AP570" s="302" t="s">
        <v>19</v>
      </c>
      <c r="AQ570" s="195">
        <f>SUM(AT570,AW570,AZ570,BC570,BF570,BI570,BL570)</f>
        <v>62826.722437246252</v>
      </c>
      <c r="AR570" s="197">
        <f>SUM(AT570,AX570,BA570,BD570,BG570,BJ570,BM570)</f>
        <v>0</v>
      </c>
      <c r="AS570" s="195">
        <f>AQ570-AR570</f>
        <v>62826.722437246252</v>
      </c>
      <c r="AT570" s="312"/>
      <c r="AU570" s="312"/>
      <c r="AV570" s="244"/>
      <c r="AW570" s="159">
        <v>1741.9973220585</v>
      </c>
      <c r="AX570" s="312"/>
      <c r="AY570" s="194">
        <f>AW570-AX570</f>
        <v>1741.9973220585</v>
      </c>
      <c r="AZ570" s="160"/>
      <c r="BA570" s="312"/>
      <c r="BB570" s="194">
        <f>AZ570-BA570</f>
        <v>0</v>
      </c>
      <c r="BC570" s="159">
        <v>61084.72511518775</v>
      </c>
      <c r="BD570" s="312"/>
      <c r="BE570" s="194">
        <f>BC570-BD570</f>
        <v>61084.72511518775</v>
      </c>
      <c r="BF570" s="159"/>
      <c r="BG570" s="244"/>
      <c r="BH570" s="194">
        <f>BF570-BG570</f>
        <v>0</v>
      </c>
      <c r="BI570" s="159"/>
      <c r="BJ570" s="244"/>
      <c r="BK570" s="194">
        <f>BI570-BJ570</f>
        <v>0</v>
      </c>
      <c r="BL570" s="312"/>
      <c r="BM570" s="312"/>
      <c r="BN570" s="195">
        <f>BL570-BM570</f>
        <v>0</v>
      </c>
      <c r="BO570" s="251">
        <v>0</v>
      </c>
      <c r="BP570" s="364"/>
      <c r="BQ570" s="364"/>
      <c r="BR570" s="364"/>
      <c r="BS570" s="249" t="str">
        <f>AG570 &amp; BO570</f>
        <v>Амортизационные отчисления0</v>
      </c>
      <c r="BT570" s="364"/>
      <c r="BU570" s="364"/>
      <c r="BV570" s="364"/>
      <c r="BW570" s="364"/>
      <c r="BX570" s="364"/>
      <c r="BY570" s="249" t="str">
        <f>AG570&amp;AH570</f>
        <v>Амортизационные отчислениянет</v>
      </c>
      <c r="BZ570" s="250"/>
    </row>
    <row r="571" spans="3:78" ht="14.25">
      <c r="C571" s="97"/>
      <c r="D571" s="367"/>
      <c r="E571" s="370"/>
      <c r="F571" s="406"/>
      <c r="G571" s="376"/>
      <c r="H571" s="379"/>
      <c r="I571" s="382"/>
      <c r="J571" s="382"/>
      <c r="K571" s="385"/>
      <c r="L571" s="388"/>
      <c r="M571" s="391"/>
      <c r="N571" s="394"/>
      <c r="O571" s="397"/>
      <c r="P571" s="400"/>
      <c r="Q571" s="403"/>
      <c r="R571" s="362"/>
      <c r="S571" s="362"/>
      <c r="T571" s="362"/>
      <c r="U571" s="362"/>
      <c r="V571" s="362"/>
      <c r="W571" s="362"/>
      <c r="X571" s="362"/>
      <c r="Y571" s="362"/>
      <c r="Z571" s="362"/>
      <c r="AA571" s="362"/>
      <c r="AB571" s="362"/>
      <c r="AC571" s="362"/>
      <c r="AD571" s="362"/>
      <c r="AE571" s="322" t="s">
        <v>1240</v>
      </c>
      <c r="AF571" s="217" t="s">
        <v>118</v>
      </c>
      <c r="AG571" s="196" t="s">
        <v>223</v>
      </c>
      <c r="AH571" s="302" t="s">
        <v>19</v>
      </c>
      <c r="AI571" s="301" t="s">
        <v>154</v>
      </c>
      <c r="AJ571" s="221"/>
      <c r="AK571" s="221"/>
      <c r="AL571" s="221"/>
      <c r="AM571" s="221"/>
      <c r="AN571" s="221"/>
      <c r="AO571" s="221"/>
      <c r="AP571" s="302" t="s">
        <v>19</v>
      </c>
      <c r="AQ571" s="195">
        <f>SUM(AT571,AW571,AZ571,BC571,BF571,BI571,BL571)</f>
        <v>12565.344487449243</v>
      </c>
      <c r="AR571" s="197">
        <f>SUM(AT571,AX571,BA571,BD571,BG571,BJ571,BM571)</f>
        <v>0</v>
      </c>
      <c r="AS571" s="195">
        <f>AQ571-AR571</f>
        <v>12565.344487449243</v>
      </c>
      <c r="AT571" s="315"/>
      <c r="AU571" s="315"/>
      <c r="AV571" s="241"/>
      <c r="AW571" s="198">
        <f>2090.3967864702-AW570</f>
        <v>348.39946441169991</v>
      </c>
      <c r="AX571" s="313"/>
      <c r="AY571" s="199">
        <f>AW571-AX571</f>
        <v>348.39946441169991</v>
      </c>
      <c r="AZ571" s="173"/>
      <c r="BA571" s="313"/>
      <c r="BB571" s="199">
        <f>AZ571-BA571</f>
        <v>0</v>
      </c>
      <c r="BC571" s="198">
        <f>73301.6701382253-BC570</f>
        <v>12216.945023037544</v>
      </c>
      <c r="BD571" s="313"/>
      <c r="BE571" s="199">
        <f>BC571-BD571</f>
        <v>12216.945023037544</v>
      </c>
      <c r="BF571" s="198"/>
      <c r="BG571" s="241"/>
      <c r="BH571" s="199">
        <f>BF571-BG571</f>
        <v>0</v>
      </c>
      <c r="BI571" s="198"/>
      <c r="BJ571" s="241"/>
      <c r="BK571" s="199">
        <f>BI571-BJ571</f>
        <v>0</v>
      </c>
      <c r="BL571" s="313"/>
      <c r="BM571" s="313"/>
      <c r="BN571" s="195">
        <f>BL571-BM571</f>
        <v>0</v>
      </c>
      <c r="BO571" s="251">
        <v>0</v>
      </c>
      <c r="BP571" s="364"/>
      <c r="BQ571" s="364"/>
      <c r="BR571" s="364"/>
      <c r="BS571" s="249" t="str">
        <f>AG571 &amp; BO571</f>
        <v>Прочие собственные средства0</v>
      </c>
      <c r="BT571" s="364"/>
      <c r="BU571" s="364"/>
      <c r="BV571" s="364"/>
      <c r="BW571" s="364"/>
      <c r="BX571" s="364"/>
      <c r="BY571" s="249" t="str">
        <f>AG571&amp;AH571</f>
        <v>Прочие собственные средстванет</v>
      </c>
      <c r="BZ571" s="250"/>
    </row>
    <row r="572" spans="3:78" ht="15" customHeight="1">
      <c r="C572" s="306"/>
      <c r="D572" s="367"/>
      <c r="E572" s="370"/>
      <c r="F572" s="406"/>
      <c r="G572" s="376"/>
      <c r="H572" s="379"/>
      <c r="I572" s="382"/>
      <c r="J572" s="382"/>
      <c r="K572" s="385"/>
      <c r="L572" s="388"/>
      <c r="M572" s="391"/>
      <c r="N572" s="395"/>
      <c r="O572" s="398"/>
      <c r="P572" s="401"/>
      <c r="Q572" s="404"/>
      <c r="R572" s="363"/>
      <c r="S572" s="363"/>
      <c r="T572" s="363"/>
      <c r="U572" s="363"/>
      <c r="V572" s="363"/>
      <c r="W572" s="363"/>
      <c r="X572" s="363"/>
      <c r="Y572" s="363"/>
      <c r="Z572" s="363"/>
      <c r="AA572" s="363"/>
      <c r="AB572" s="363"/>
      <c r="AC572" s="363"/>
      <c r="AD572" s="363"/>
      <c r="AE572" s="279" t="s">
        <v>379</v>
      </c>
      <c r="AF572" s="203"/>
      <c r="AG572" s="223" t="s">
        <v>24</v>
      </c>
      <c r="AH572" s="223"/>
      <c r="AI572" s="223"/>
      <c r="AJ572" s="223"/>
      <c r="AK572" s="223"/>
      <c r="AL572" s="223"/>
      <c r="AM572" s="223"/>
      <c r="AN572" s="223"/>
      <c r="AO572" s="223"/>
      <c r="AP572" s="168"/>
      <c r="AQ572" s="169"/>
      <c r="AR572" s="169"/>
      <c r="AS572" s="169"/>
      <c r="AT572" s="169"/>
      <c r="AU572" s="169"/>
      <c r="AV572" s="169"/>
      <c r="AW572" s="169"/>
      <c r="AX572" s="169"/>
      <c r="AY572" s="169"/>
      <c r="AZ572" s="169"/>
      <c r="BA572" s="169"/>
      <c r="BB572" s="169"/>
      <c r="BC572" s="169"/>
      <c r="BD572" s="169"/>
      <c r="BE572" s="169"/>
      <c r="BF572" s="169"/>
      <c r="BG572" s="169"/>
      <c r="BH572" s="169"/>
      <c r="BI572" s="169"/>
      <c r="BJ572" s="169"/>
      <c r="BK572" s="169"/>
      <c r="BL572" s="169"/>
      <c r="BM572" s="169"/>
      <c r="BN572" s="170"/>
      <c r="BO572" s="251"/>
      <c r="BP572" s="364"/>
      <c r="BQ572" s="364"/>
      <c r="BR572" s="364"/>
      <c r="BS572" s="250"/>
      <c r="BT572" s="364"/>
      <c r="BU572" s="364"/>
      <c r="BV572" s="364"/>
      <c r="BW572" s="364"/>
      <c r="BX572" s="364"/>
      <c r="BY572" s="250"/>
    </row>
    <row r="573" spans="3:78" ht="15" customHeight="1" thickBot="1">
      <c r="C573" s="307"/>
      <c r="D573" s="368"/>
      <c r="E573" s="371"/>
      <c r="F573" s="407"/>
      <c r="G573" s="377"/>
      <c r="H573" s="380"/>
      <c r="I573" s="383"/>
      <c r="J573" s="383"/>
      <c r="K573" s="386"/>
      <c r="L573" s="389"/>
      <c r="M573" s="392"/>
      <c r="N573" s="280" t="s">
        <v>380</v>
      </c>
      <c r="O573" s="212"/>
      <c r="P573" s="365" t="s">
        <v>154</v>
      </c>
      <c r="Q573" s="365"/>
      <c r="R573" s="171"/>
      <c r="S573" s="171"/>
      <c r="T573" s="166"/>
      <c r="U573" s="166"/>
      <c r="V573" s="166"/>
      <c r="W573" s="166"/>
      <c r="X573" s="166"/>
      <c r="Y573" s="166"/>
      <c r="Z573" s="166"/>
      <c r="AA573" s="166"/>
      <c r="AB573" s="166"/>
      <c r="AC573" s="166"/>
      <c r="AD573" s="166"/>
      <c r="AE573" s="166"/>
      <c r="AF573" s="166"/>
      <c r="AG573" s="166"/>
      <c r="AH573" s="166"/>
      <c r="AI573" s="166"/>
      <c r="AJ573" s="166"/>
      <c r="AK573" s="166"/>
      <c r="AL573" s="166"/>
      <c r="AM573" s="166"/>
      <c r="AN573" s="166"/>
      <c r="AO573" s="166"/>
      <c r="AP573" s="166"/>
      <c r="AQ573" s="166"/>
      <c r="AR573" s="166"/>
      <c r="AS573" s="166"/>
      <c r="AT573" s="166"/>
      <c r="AU573" s="166"/>
      <c r="AV573" s="166"/>
      <c r="AW573" s="166"/>
      <c r="AX573" s="166"/>
      <c r="AY573" s="166"/>
      <c r="AZ573" s="166"/>
      <c r="BA573" s="166"/>
      <c r="BB573" s="166"/>
      <c r="BC573" s="166"/>
      <c r="BD573" s="166"/>
      <c r="BE573" s="166"/>
      <c r="BF573" s="166"/>
      <c r="BG573" s="166"/>
      <c r="BH573" s="166"/>
      <c r="BI573" s="166"/>
      <c r="BJ573" s="166"/>
      <c r="BK573" s="166"/>
      <c r="BL573" s="166"/>
      <c r="BM573" s="166"/>
      <c r="BN573" s="167"/>
      <c r="BO573" s="251"/>
      <c r="BP573" s="250"/>
      <c r="BQ573" s="250"/>
      <c r="BR573" s="250"/>
      <c r="BS573" s="250"/>
      <c r="BT573" s="250"/>
      <c r="BU573" s="250"/>
      <c r="BY573" s="250"/>
    </row>
    <row r="574" spans="3:78" ht="11.25" customHeight="1">
      <c r="C574" s="97" t="s">
        <v>1240</v>
      </c>
      <c r="D574" s="366" t="s">
        <v>1378</v>
      </c>
      <c r="E574" s="369" t="s">
        <v>199</v>
      </c>
      <c r="F574" s="405" t="s">
        <v>209</v>
      </c>
      <c r="G574" s="375" t="s">
        <v>1496</v>
      </c>
      <c r="H574" s="378" t="s">
        <v>715</v>
      </c>
      <c r="I574" s="381" t="s">
        <v>715</v>
      </c>
      <c r="J574" s="381" t="s">
        <v>716</v>
      </c>
      <c r="K574" s="384">
        <v>1</v>
      </c>
      <c r="L574" s="387" t="s">
        <v>5</v>
      </c>
      <c r="M574" s="390">
        <v>0</v>
      </c>
      <c r="N574" s="163"/>
      <c r="O574" s="161"/>
      <c r="P574" s="161"/>
      <c r="Q574" s="161"/>
      <c r="R574" s="161"/>
      <c r="S574" s="161"/>
      <c r="T574" s="161"/>
      <c r="U574" s="161"/>
      <c r="V574" s="161"/>
      <c r="W574" s="161"/>
      <c r="X574" s="161"/>
      <c r="Y574" s="161"/>
      <c r="Z574" s="161"/>
      <c r="AA574" s="161"/>
      <c r="AB574" s="161"/>
      <c r="AC574" s="161"/>
      <c r="AD574" s="161"/>
      <c r="AE574" s="161"/>
      <c r="AF574" s="161"/>
      <c r="AG574" s="161"/>
      <c r="AH574" s="161"/>
      <c r="AI574" s="161"/>
      <c r="AJ574" s="161"/>
      <c r="AK574" s="161"/>
      <c r="AL574" s="161"/>
      <c r="AM574" s="161"/>
      <c r="AN574" s="161"/>
      <c r="AO574" s="161"/>
      <c r="AP574" s="161"/>
      <c r="AQ574" s="161"/>
      <c r="AR574" s="161"/>
      <c r="AS574" s="161"/>
      <c r="AT574" s="161"/>
      <c r="AU574" s="161"/>
      <c r="AV574" s="161"/>
      <c r="AW574" s="161"/>
      <c r="AX574" s="161"/>
      <c r="AY574" s="161"/>
      <c r="AZ574" s="161"/>
      <c r="BA574" s="161"/>
      <c r="BB574" s="161"/>
      <c r="BC574" s="161"/>
      <c r="BD574" s="161"/>
      <c r="BE574" s="161"/>
      <c r="BF574" s="161"/>
      <c r="BG574" s="161"/>
      <c r="BH574" s="161"/>
      <c r="BI574" s="161"/>
      <c r="BJ574" s="161"/>
      <c r="BK574" s="161"/>
      <c r="BL574" s="161"/>
      <c r="BM574" s="161"/>
      <c r="BN574" s="162"/>
      <c r="BO574" s="251"/>
      <c r="BP574" s="250"/>
      <c r="BQ574" s="250"/>
      <c r="BR574" s="250"/>
      <c r="BS574" s="250"/>
      <c r="BT574" s="250"/>
      <c r="BU574" s="250"/>
      <c r="BY574" s="250"/>
    </row>
    <row r="575" spans="3:78" ht="11.25" customHeight="1">
      <c r="C575" s="306"/>
      <c r="D575" s="367"/>
      <c r="E575" s="370"/>
      <c r="F575" s="406"/>
      <c r="G575" s="376"/>
      <c r="H575" s="379"/>
      <c r="I575" s="382"/>
      <c r="J575" s="382"/>
      <c r="K575" s="385"/>
      <c r="L575" s="388"/>
      <c r="M575" s="391"/>
      <c r="N575" s="393"/>
      <c r="O575" s="396">
        <v>1</v>
      </c>
      <c r="P575" s="399" t="s">
        <v>1297</v>
      </c>
      <c r="Q575" s="402"/>
      <c r="R575" s="361" t="s">
        <v>154</v>
      </c>
      <c r="S575" s="361" t="s">
        <v>154</v>
      </c>
      <c r="T575" s="361" t="s">
        <v>154</v>
      </c>
      <c r="U575" s="361" t="s">
        <v>154</v>
      </c>
      <c r="V575" s="361" t="s">
        <v>154</v>
      </c>
      <c r="W575" s="361" t="s">
        <v>154</v>
      </c>
      <c r="X575" s="361" t="s">
        <v>154</v>
      </c>
      <c r="Y575" s="361" t="s">
        <v>154</v>
      </c>
      <c r="Z575" s="361" t="s">
        <v>154</v>
      </c>
      <c r="AA575" s="361" t="s">
        <v>154</v>
      </c>
      <c r="AB575" s="361" t="s">
        <v>154</v>
      </c>
      <c r="AC575" s="361" t="s">
        <v>154</v>
      </c>
      <c r="AD575" s="361" t="s">
        <v>154</v>
      </c>
      <c r="AE575" s="209"/>
      <c r="AF575" s="220">
        <v>0</v>
      </c>
      <c r="AG575" s="219" t="s">
        <v>308</v>
      </c>
      <c r="AH575" s="219"/>
      <c r="AI575" s="219"/>
      <c r="AJ575" s="219"/>
      <c r="AK575" s="219"/>
      <c r="AL575" s="219"/>
      <c r="AM575" s="219"/>
      <c r="AN575" s="219"/>
      <c r="AO575" s="219"/>
      <c r="AP575" s="164"/>
      <c r="AQ575" s="164"/>
      <c r="AR575" s="164"/>
      <c r="AS575" s="164"/>
      <c r="AT575" s="164"/>
      <c r="AU575" s="164"/>
      <c r="AV575" s="164"/>
      <c r="AW575" s="164"/>
      <c r="AX575" s="164"/>
      <c r="AY575" s="164"/>
      <c r="AZ575" s="164"/>
      <c r="BA575" s="164"/>
      <c r="BB575" s="164"/>
      <c r="BC575" s="164"/>
      <c r="BD575" s="164"/>
      <c r="BE575" s="164"/>
      <c r="BF575" s="164"/>
      <c r="BG575" s="164"/>
      <c r="BH575" s="164"/>
      <c r="BI575" s="164"/>
      <c r="BJ575" s="164"/>
      <c r="BK575" s="164"/>
      <c r="BL575" s="164"/>
      <c r="BM575" s="164"/>
      <c r="BN575" s="165"/>
      <c r="BO575" s="251"/>
      <c r="BP575" s="364" t="s">
        <v>1298</v>
      </c>
      <c r="BQ575" s="364" t="s">
        <v>1298</v>
      </c>
      <c r="BR575" s="364" t="s">
        <v>1298</v>
      </c>
      <c r="BS575" s="250"/>
      <c r="BT575" s="364" t="s">
        <v>1298</v>
      </c>
      <c r="BU575" s="364" t="s">
        <v>1298</v>
      </c>
      <c r="BV575" s="364" t="s">
        <v>1298</v>
      </c>
      <c r="BW575" s="364" t="s">
        <v>1298</v>
      </c>
      <c r="BX575" s="364" t="s">
        <v>1298</v>
      </c>
      <c r="BY575" s="250"/>
    </row>
    <row r="576" spans="3:78" ht="14.25">
      <c r="C576" s="306"/>
      <c r="D576" s="367"/>
      <c r="E576" s="370"/>
      <c r="F576" s="406"/>
      <c r="G576" s="376"/>
      <c r="H576" s="379"/>
      <c r="I576" s="382"/>
      <c r="J576" s="382"/>
      <c r="K576" s="385"/>
      <c r="L576" s="388"/>
      <c r="M576" s="391"/>
      <c r="N576" s="394"/>
      <c r="O576" s="397"/>
      <c r="P576" s="400"/>
      <c r="Q576" s="403"/>
      <c r="R576" s="362"/>
      <c r="S576" s="362"/>
      <c r="T576" s="362"/>
      <c r="U576" s="362"/>
      <c r="V576" s="362"/>
      <c r="W576" s="362"/>
      <c r="X576" s="362"/>
      <c r="Y576" s="362"/>
      <c r="Z576" s="362"/>
      <c r="AA576" s="362"/>
      <c r="AB576" s="362"/>
      <c r="AC576" s="362"/>
      <c r="AD576" s="362"/>
      <c r="AE576" s="193"/>
      <c r="AF576" s="217" t="s">
        <v>268</v>
      </c>
      <c r="AG576" s="158" t="s">
        <v>221</v>
      </c>
      <c r="AH576" s="300" t="s">
        <v>19</v>
      </c>
      <c r="AI576" s="301" t="s">
        <v>154</v>
      </c>
      <c r="AJ576" s="221"/>
      <c r="AK576" s="221"/>
      <c r="AL576" s="221"/>
      <c r="AM576" s="221"/>
      <c r="AN576" s="221"/>
      <c r="AO576" s="221"/>
      <c r="AP576" s="302" t="s">
        <v>19</v>
      </c>
      <c r="AQ576" s="195">
        <f>SUM(AT576,AW576,AZ576,BC576,BF576,BI576,BL576)</f>
        <v>78368.332642165085</v>
      </c>
      <c r="AR576" s="197">
        <f>SUM(AT576,AX576,BA576,BD576,BG576,BJ576,BM576)</f>
        <v>0</v>
      </c>
      <c r="AS576" s="195">
        <f>AQ576-AR576</f>
        <v>78368.332642165085</v>
      </c>
      <c r="AT576" s="312"/>
      <c r="AU576" s="312"/>
      <c r="AV576" s="244"/>
      <c r="AW576" s="159"/>
      <c r="AX576" s="312"/>
      <c r="AY576" s="194">
        <f>AW576-AX576</f>
        <v>0</v>
      </c>
      <c r="AZ576" s="160"/>
      <c r="BA576" s="312"/>
      <c r="BB576" s="194">
        <f>AZ576-BA576</f>
        <v>0</v>
      </c>
      <c r="BC576" s="159">
        <v>78368.332642165085</v>
      </c>
      <c r="BD576" s="312"/>
      <c r="BE576" s="194">
        <f>BC576-BD576</f>
        <v>78368.332642165085</v>
      </c>
      <c r="BF576" s="159"/>
      <c r="BG576" s="244"/>
      <c r="BH576" s="194">
        <f>BF576-BG576</f>
        <v>0</v>
      </c>
      <c r="BI576" s="159"/>
      <c r="BJ576" s="244"/>
      <c r="BK576" s="194">
        <f>BI576-BJ576</f>
        <v>0</v>
      </c>
      <c r="BL576" s="312"/>
      <c r="BM576" s="312"/>
      <c r="BN576" s="195">
        <f>BL576-BM576</f>
        <v>0</v>
      </c>
      <c r="BO576" s="251">
        <v>0</v>
      </c>
      <c r="BP576" s="364"/>
      <c r="BQ576" s="364"/>
      <c r="BR576" s="364"/>
      <c r="BS576" s="249" t="str">
        <f>AG576 &amp; BO576</f>
        <v>Амортизационные отчисления0</v>
      </c>
      <c r="BT576" s="364"/>
      <c r="BU576" s="364"/>
      <c r="BV576" s="364"/>
      <c r="BW576" s="364"/>
      <c r="BX576" s="364"/>
      <c r="BY576" s="249" t="str">
        <f>AG576&amp;AH576</f>
        <v>Амортизационные отчислениянет</v>
      </c>
      <c r="BZ576" s="250"/>
    </row>
    <row r="577" spans="3:78" ht="14.25">
      <c r="C577" s="97"/>
      <c r="D577" s="367"/>
      <c r="E577" s="370"/>
      <c r="F577" s="406"/>
      <c r="G577" s="376"/>
      <c r="H577" s="379"/>
      <c r="I577" s="382"/>
      <c r="J577" s="382"/>
      <c r="K577" s="385"/>
      <c r="L577" s="388"/>
      <c r="M577" s="391"/>
      <c r="N577" s="394"/>
      <c r="O577" s="397"/>
      <c r="P577" s="400"/>
      <c r="Q577" s="403"/>
      <c r="R577" s="362"/>
      <c r="S577" s="362"/>
      <c r="T577" s="362"/>
      <c r="U577" s="362"/>
      <c r="V577" s="362"/>
      <c r="W577" s="362"/>
      <c r="X577" s="362"/>
      <c r="Y577" s="362"/>
      <c r="Z577" s="362"/>
      <c r="AA577" s="362"/>
      <c r="AB577" s="362"/>
      <c r="AC577" s="362"/>
      <c r="AD577" s="362"/>
      <c r="AE577" s="322" t="s">
        <v>1240</v>
      </c>
      <c r="AF577" s="217" t="s">
        <v>118</v>
      </c>
      <c r="AG577" s="196" t="s">
        <v>223</v>
      </c>
      <c r="AH577" s="302" t="s">
        <v>19</v>
      </c>
      <c r="AI577" s="301" t="s">
        <v>154</v>
      </c>
      <c r="AJ577" s="221"/>
      <c r="AK577" s="221"/>
      <c r="AL577" s="221"/>
      <c r="AM577" s="221"/>
      <c r="AN577" s="221"/>
      <c r="AO577" s="221"/>
      <c r="AP577" s="302" t="s">
        <v>19</v>
      </c>
      <c r="AQ577" s="195">
        <f>SUM(AT577,AW577,AZ577,BC577,BF577,BI577,BL577)</f>
        <v>15673.666528432921</v>
      </c>
      <c r="AR577" s="197">
        <f>SUM(AT577,AX577,BA577,BD577,BG577,BJ577,BM577)</f>
        <v>0</v>
      </c>
      <c r="AS577" s="195">
        <f>AQ577-AR577</f>
        <v>15673.666528432921</v>
      </c>
      <c r="AT577" s="315"/>
      <c r="AU577" s="315"/>
      <c r="AV577" s="241"/>
      <c r="AW577" s="198"/>
      <c r="AX577" s="313"/>
      <c r="AY577" s="199">
        <f>AW577-AX577</f>
        <v>0</v>
      </c>
      <c r="AZ577" s="173"/>
      <c r="BA577" s="313"/>
      <c r="BB577" s="199">
        <f>AZ577-BA577</f>
        <v>0</v>
      </c>
      <c r="BC577" s="198">
        <v>15673.666528432921</v>
      </c>
      <c r="BD577" s="313"/>
      <c r="BE577" s="199">
        <f>BC577-BD577</f>
        <v>15673.666528432921</v>
      </c>
      <c r="BF577" s="198"/>
      <c r="BG577" s="241"/>
      <c r="BH577" s="199">
        <f>BF577-BG577</f>
        <v>0</v>
      </c>
      <c r="BI577" s="198"/>
      <c r="BJ577" s="241"/>
      <c r="BK577" s="199">
        <f>BI577-BJ577</f>
        <v>0</v>
      </c>
      <c r="BL577" s="313"/>
      <c r="BM577" s="313"/>
      <c r="BN577" s="195">
        <f>BL577-BM577</f>
        <v>0</v>
      </c>
      <c r="BO577" s="251">
        <v>0</v>
      </c>
      <c r="BP577" s="364"/>
      <c r="BQ577" s="364"/>
      <c r="BR577" s="364"/>
      <c r="BS577" s="249" t="str">
        <f>AG577 &amp; BO577</f>
        <v>Прочие собственные средства0</v>
      </c>
      <c r="BT577" s="364"/>
      <c r="BU577" s="364"/>
      <c r="BV577" s="364"/>
      <c r="BW577" s="364"/>
      <c r="BX577" s="364"/>
      <c r="BY577" s="249" t="str">
        <f>AG577&amp;AH577</f>
        <v>Прочие собственные средстванет</v>
      </c>
      <c r="BZ577" s="250"/>
    </row>
    <row r="578" spans="3:78" ht="15" customHeight="1">
      <c r="C578" s="306"/>
      <c r="D578" s="367"/>
      <c r="E578" s="370"/>
      <c r="F578" s="406"/>
      <c r="G578" s="376"/>
      <c r="H578" s="379"/>
      <c r="I578" s="382"/>
      <c r="J578" s="382"/>
      <c r="K578" s="385"/>
      <c r="L578" s="388"/>
      <c r="M578" s="391"/>
      <c r="N578" s="395"/>
      <c r="O578" s="398"/>
      <c r="P578" s="401"/>
      <c r="Q578" s="404"/>
      <c r="R578" s="363"/>
      <c r="S578" s="363"/>
      <c r="T578" s="363"/>
      <c r="U578" s="363"/>
      <c r="V578" s="363"/>
      <c r="W578" s="363"/>
      <c r="X578" s="363"/>
      <c r="Y578" s="363"/>
      <c r="Z578" s="363"/>
      <c r="AA578" s="363"/>
      <c r="AB578" s="363"/>
      <c r="AC578" s="363"/>
      <c r="AD578" s="363"/>
      <c r="AE578" s="279" t="s">
        <v>379</v>
      </c>
      <c r="AF578" s="203"/>
      <c r="AG578" s="223" t="s">
        <v>24</v>
      </c>
      <c r="AH578" s="223"/>
      <c r="AI578" s="223"/>
      <c r="AJ578" s="223"/>
      <c r="AK578" s="223"/>
      <c r="AL578" s="223"/>
      <c r="AM578" s="223"/>
      <c r="AN578" s="223"/>
      <c r="AO578" s="223"/>
      <c r="AP578" s="168"/>
      <c r="AQ578" s="169"/>
      <c r="AR578" s="169"/>
      <c r="AS578" s="169"/>
      <c r="AT578" s="169"/>
      <c r="AU578" s="169"/>
      <c r="AV578" s="169"/>
      <c r="AW578" s="169"/>
      <c r="AX578" s="169"/>
      <c r="AY578" s="169"/>
      <c r="AZ578" s="169"/>
      <c r="BA578" s="169"/>
      <c r="BB578" s="169"/>
      <c r="BC578" s="169"/>
      <c r="BD578" s="169"/>
      <c r="BE578" s="169"/>
      <c r="BF578" s="169"/>
      <c r="BG578" s="169"/>
      <c r="BH578" s="169"/>
      <c r="BI578" s="169"/>
      <c r="BJ578" s="169"/>
      <c r="BK578" s="169"/>
      <c r="BL578" s="169"/>
      <c r="BM578" s="169"/>
      <c r="BN578" s="170"/>
      <c r="BO578" s="251"/>
      <c r="BP578" s="364"/>
      <c r="BQ578" s="364"/>
      <c r="BR578" s="364"/>
      <c r="BS578" s="250"/>
      <c r="BT578" s="364"/>
      <c r="BU578" s="364"/>
      <c r="BV578" s="364"/>
      <c r="BW578" s="364"/>
      <c r="BX578" s="364"/>
      <c r="BY578" s="250"/>
    </row>
    <row r="579" spans="3:78" ht="15" customHeight="1" thickBot="1">
      <c r="C579" s="307"/>
      <c r="D579" s="368"/>
      <c r="E579" s="371"/>
      <c r="F579" s="407"/>
      <c r="G579" s="377"/>
      <c r="H579" s="380"/>
      <c r="I579" s="383"/>
      <c r="J579" s="383"/>
      <c r="K579" s="386"/>
      <c r="L579" s="389"/>
      <c r="M579" s="392"/>
      <c r="N579" s="280" t="s">
        <v>380</v>
      </c>
      <c r="O579" s="212"/>
      <c r="P579" s="365" t="s">
        <v>154</v>
      </c>
      <c r="Q579" s="365"/>
      <c r="R579" s="171"/>
      <c r="S579" s="171"/>
      <c r="T579" s="166"/>
      <c r="U579" s="166"/>
      <c r="V579" s="166"/>
      <c r="W579" s="166"/>
      <c r="X579" s="166"/>
      <c r="Y579" s="166"/>
      <c r="Z579" s="166"/>
      <c r="AA579" s="166"/>
      <c r="AB579" s="166"/>
      <c r="AC579" s="166"/>
      <c r="AD579" s="166"/>
      <c r="AE579" s="166"/>
      <c r="AF579" s="166"/>
      <c r="AG579" s="166"/>
      <c r="AH579" s="166"/>
      <c r="AI579" s="166"/>
      <c r="AJ579" s="166"/>
      <c r="AK579" s="166"/>
      <c r="AL579" s="166"/>
      <c r="AM579" s="166"/>
      <c r="AN579" s="166"/>
      <c r="AO579" s="166"/>
      <c r="AP579" s="166"/>
      <c r="AQ579" s="166"/>
      <c r="AR579" s="166"/>
      <c r="AS579" s="166"/>
      <c r="AT579" s="166"/>
      <c r="AU579" s="166"/>
      <c r="AV579" s="166"/>
      <c r="AW579" s="166"/>
      <c r="AX579" s="166"/>
      <c r="AY579" s="166"/>
      <c r="AZ579" s="166"/>
      <c r="BA579" s="166"/>
      <c r="BB579" s="166"/>
      <c r="BC579" s="166"/>
      <c r="BD579" s="166"/>
      <c r="BE579" s="166"/>
      <c r="BF579" s="166"/>
      <c r="BG579" s="166"/>
      <c r="BH579" s="166"/>
      <c r="BI579" s="166"/>
      <c r="BJ579" s="166"/>
      <c r="BK579" s="166"/>
      <c r="BL579" s="166"/>
      <c r="BM579" s="166"/>
      <c r="BN579" s="167"/>
      <c r="BO579" s="251"/>
      <c r="BP579" s="250"/>
      <c r="BQ579" s="250"/>
      <c r="BR579" s="250"/>
      <c r="BS579" s="250"/>
      <c r="BT579" s="250"/>
      <c r="BU579" s="250"/>
      <c r="BY579" s="250"/>
    </row>
    <row r="580" spans="3:78" ht="11.25" customHeight="1">
      <c r="C580" s="97" t="s">
        <v>1240</v>
      </c>
      <c r="D580" s="366" t="s">
        <v>1387</v>
      </c>
      <c r="E580" s="369" t="s">
        <v>199</v>
      </c>
      <c r="F580" s="405" t="s">
        <v>209</v>
      </c>
      <c r="G580" s="375" t="s">
        <v>1407</v>
      </c>
      <c r="H580" s="378" t="s">
        <v>715</v>
      </c>
      <c r="I580" s="381" t="s">
        <v>715</v>
      </c>
      <c r="J580" s="381" t="s">
        <v>716</v>
      </c>
      <c r="K580" s="384">
        <v>2</v>
      </c>
      <c r="L580" s="387" t="s">
        <v>5</v>
      </c>
      <c r="M580" s="390">
        <v>0</v>
      </c>
      <c r="N580" s="163"/>
      <c r="O580" s="161"/>
      <c r="P580" s="161"/>
      <c r="Q580" s="161"/>
      <c r="R580" s="161"/>
      <c r="S580" s="161"/>
      <c r="T580" s="161"/>
      <c r="U580" s="161"/>
      <c r="V580" s="161"/>
      <c r="W580" s="161"/>
      <c r="X580" s="161"/>
      <c r="Y580" s="161"/>
      <c r="Z580" s="161"/>
      <c r="AA580" s="161"/>
      <c r="AB580" s="161"/>
      <c r="AC580" s="161"/>
      <c r="AD580" s="161"/>
      <c r="AE580" s="161"/>
      <c r="AF580" s="161"/>
      <c r="AG580" s="161"/>
      <c r="AH580" s="161"/>
      <c r="AI580" s="161"/>
      <c r="AJ580" s="161"/>
      <c r="AK580" s="161"/>
      <c r="AL580" s="161"/>
      <c r="AM580" s="161"/>
      <c r="AN580" s="161"/>
      <c r="AO580" s="161"/>
      <c r="AP580" s="161"/>
      <c r="AQ580" s="161"/>
      <c r="AR580" s="161"/>
      <c r="AS580" s="161"/>
      <c r="AT580" s="161"/>
      <c r="AU580" s="161"/>
      <c r="AV580" s="161"/>
      <c r="AW580" s="161"/>
      <c r="AX580" s="161"/>
      <c r="AY580" s="161"/>
      <c r="AZ580" s="161"/>
      <c r="BA580" s="161"/>
      <c r="BB580" s="161"/>
      <c r="BC580" s="161"/>
      <c r="BD580" s="161"/>
      <c r="BE580" s="161"/>
      <c r="BF580" s="161"/>
      <c r="BG580" s="161"/>
      <c r="BH580" s="161"/>
      <c r="BI580" s="161"/>
      <c r="BJ580" s="161"/>
      <c r="BK580" s="161"/>
      <c r="BL580" s="161"/>
      <c r="BM580" s="161"/>
      <c r="BN580" s="162"/>
      <c r="BO580" s="251"/>
      <c r="BP580" s="250"/>
      <c r="BQ580" s="250"/>
      <c r="BR580" s="250"/>
      <c r="BS580" s="250"/>
      <c r="BT580" s="250"/>
      <c r="BU580" s="250"/>
      <c r="BY580" s="250"/>
    </row>
    <row r="581" spans="3:78" ht="11.25" customHeight="1">
      <c r="C581" s="306"/>
      <c r="D581" s="367"/>
      <c r="E581" s="370"/>
      <c r="F581" s="406"/>
      <c r="G581" s="376"/>
      <c r="H581" s="379"/>
      <c r="I581" s="382"/>
      <c r="J581" s="382"/>
      <c r="K581" s="385"/>
      <c r="L581" s="388"/>
      <c r="M581" s="391"/>
      <c r="N581" s="393"/>
      <c r="O581" s="396">
        <v>1</v>
      </c>
      <c r="P581" s="399" t="s">
        <v>1297</v>
      </c>
      <c r="Q581" s="402"/>
      <c r="R581" s="361" t="s">
        <v>154</v>
      </c>
      <c r="S581" s="361" t="s">
        <v>154</v>
      </c>
      <c r="T581" s="361" t="s">
        <v>154</v>
      </c>
      <c r="U581" s="361" t="s">
        <v>154</v>
      </c>
      <c r="V581" s="361" t="s">
        <v>154</v>
      </c>
      <c r="W581" s="361" t="s">
        <v>154</v>
      </c>
      <c r="X581" s="361" t="s">
        <v>154</v>
      </c>
      <c r="Y581" s="361" t="s">
        <v>154</v>
      </c>
      <c r="Z581" s="361" t="s">
        <v>154</v>
      </c>
      <c r="AA581" s="361" t="s">
        <v>154</v>
      </c>
      <c r="AB581" s="361" t="s">
        <v>154</v>
      </c>
      <c r="AC581" s="361" t="s">
        <v>154</v>
      </c>
      <c r="AD581" s="361" t="s">
        <v>154</v>
      </c>
      <c r="AE581" s="209"/>
      <c r="AF581" s="220">
        <v>0</v>
      </c>
      <c r="AG581" s="219" t="s">
        <v>308</v>
      </c>
      <c r="AH581" s="219"/>
      <c r="AI581" s="219"/>
      <c r="AJ581" s="219"/>
      <c r="AK581" s="219"/>
      <c r="AL581" s="219"/>
      <c r="AM581" s="219"/>
      <c r="AN581" s="219"/>
      <c r="AO581" s="219"/>
      <c r="AP581" s="164"/>
      <c r="AQ581" s="164"/>
      <c r="AR581" s="164"/>
      <c r="AS581" s="164"/>
      <c r="AT581" s="164"/>
      <c r="AU581" s="164"/>
      <c r="AV581" s="164"/>
      <c r="AW581" s="164"/>
      <c r="AX581" s="164"/>
      <c r="AY581" s="164"/>
      <c r="AZ581" s="164"/>
      <c r="BA581" s="164"/>
      <c r="BB581" s="164"/>
      <c r="BC581" s="164"/>
      <c r="BD581" s="164"/>
      <c r="BE581" s="164"/>
      <c r="BF581" s="164"/>
      <c r="BG581" s="164"/>
      <c r="BH581" s="164"/>
      <c r="BI581" s="164"/>
      <c r="BJ581" s="164"/>
      <c r="BK581" s="164"/>
      <c r="BL581" s="164"/>
      <c r="BM581" s="164"/>
      <c r="BN581" s="165"/>
      <c r="BO581" s="251"/>
      <c r="BP581" s="364" t="s">
        <v>1298</v>
      </c>
      <c r="BQ581" s="364" t="s">
        <v>1298</v>
      </c>
      <c r="BR581" s="364" t="s">
        <v>1298</v>
      </c>
      <c r="BS581" s="250"/>
      <c r="BT581" s="364" t="s">
        <v>1298</v>
      </c>
      <c r="BU581" s="364" t="s">
        <v>1298</v>
      </c>
      <c r="BV581" s="364" t="s">
        <v>1298</v>
      </c>
      <c r="BW581" s="364" t="s">
        <v>1298</v>
      </c>
      <c r="BX581" s="364" t="s">
        <v>1298</v>
      </c>
      <c r="BY581" s="250"/>
    </row>
    <row r="582" spans="3:78" ht="14.25">
      <c r="C582" s="306"/>
      <c r="D582" s="367"/>
      <c r="E582" s="370"/>
      <c r="F582" s="406"/>
      <c r="G582" s="376"/>
      <c r="H582" s="379"/>
      <c r="I582" s="382"/>
      <c r="J582" s="382"/>
      <c r="K582" s="385"/>
      <c r="L582" s="388"/>
      <c r="M582" s="391"/>
      <c r="N582" s="394"/>
      <c r="O582" s="397"/>
      <c r="P582" s="400"/>
      <c r="Q582" s="403"/>
      <c r="R582" s="362"/>
      <c r="S582" s="362"/>
      <c r="T582" s="362"/>
      <c r="U582" s="362"/>
      <c r="V582" s="362"/>
      <c r="W582" s="362"/>
      <c r="X582" s="362"/>
      <c r="Y582" s="362"/>
      <c r="Z582" s="362"/>
      <c r="AA582" s="362"/>
      <c r="AB582" s="362"/>
      <c r="AC582" s="362"/>
      <c r="AD582" s="362"/>
      <c r="AE582" s="193"/>
      <c r="AF582" s="217" t="s">
        <v>268</v>
      </c>
      <c r="AG582" s="158" t="s">
        <v>221</v>
      </c>
      <c r="AH582" s="300" t="s">
        <v>19</v>
      </c>
      <c r="AI582" s="301" t="s">
        <v>154</v>
      </c>
      <c r="AJ582" s="221"/>
      <c r="AK582" s="221"/>
      <c r="AL582" s="221"/>
      <c r="AM582" s="221"/>
      <c r="AN582" s="221"/>
      <c r="AO582" s="221"/>
      <c r="AP582" s="302" t="s">
        <v>19</v>
      </c>
      <c r="AQ582" s="195">
        <f>SUM(AT582,AW582,AZ582,BC582,BF582,BI582,BL582)</f>
        <v>26821.53899930984</v>
      </c>
      <c r="AR582" s="197">
        <f>SUM(AT582,AX582,BA582,BD582,BG582,BJ582,BM582)</f>
        <v>0</v>
      </c>
      <c r="AS582" s="195">
        <f>AQ582-AR582</f>
        <v>26821.53899930984</v>
      </c>
      <c r="AT582" s="312"/>
      <c r="AU582" s="312"/>
      <c r="AV582" s="244"/>
      <c r="AW582" s="159">
        <v>1515.8134880160917</v>
      </c>
      <c r="AX582" s="312"/>
      <c r="AY582" s="194">
        <f>AW582-AX582</f>
        <v>1515.8134880160917</v>
      </c>
      <c r="AZ582" s="160"/>
      <c r="BA582" s="312"/>
      <c r="BB582" s="194">
        <f>AZ582-BA582</f>
        <v>0</v>
      </c>
      <c r="BC582" s="159">
        <v>25305.725511293749</v>
      </c>
      <c r="BD582" s="312"/>
      <c r="BE582" s="194">
        <f>BC582-BD582</f>
        <v>25305.725511293749</v>
      </c>
      <c r="BF582" s="159"/>
      <c r="BG582" s="244"/>
      <c r="BH582" s="194">
        <f>BF582-BG582</f>
        <v>0</v>
      </c>
      <c r="BI582" s="159"/>
      <c r="BJ582" s="244"/>
      <c r="BK582" s="194">
        <f>BI582-BJ582</f>
        <v>0</v>
      </c>
      <c r="BL582" s="312"/>
      <c r="BM582" s="312"/>
      <c r="BN582" s="195">
        <f>BL582-BM582</f>
        <v>0</v>
      </c>
      <c r="BO582" s="251">
        <v>0</v>
      </c>
      <c r="BP582" s="364"/>
      <c r="BQ582" s="364"/>
      <c r="BR582" s="364"/>
      <c r="BS582" s="249" t="str">
        <f>AG582 &amp; BO582</f>
        <v>Амортизационные отчисления0</v>
      </c>
      <c r="BT582" s="364"/>
      <c r="BU582" s="364"/>
      <c r="BV582" s="364"/>
      <c r="BW582" s="364"/>
      <c r="BX582" s="364"/>
      <c r="BY582" s="249" t="str">
        <f>AG582&amp;AH582</f>
        <v>Амортизационные отчислениянет</v>
      </c>
      <c r="BZ582" s="250"/>
    </row>
    <row r="583" spans="3:78" ht="14.25">
      <c r="C583" s="97"/>
      <c r="D583" s="367"/>
      <c r="E583" s="370"/>
      <c r="F583" s="406"/>
      <c r="G583" s="376"/>
      <c r="H583" s="379"/>
      <c r="I583" s="382"/>
      <c r="J583" s="382"/>
      <c r="K583" s="385"/>
      <c r="L583" s="388"/>
      <c r="M583" s="391"/>
      <c r="N583" s="394"/>
      <c r="O583" s="397"/>
      <c r="P583" s="400"/>
      <c r="Q583" s="403"/>
      <c r="R583" s="362"/>
      <c r="S583" s="362"/>
      <c r="T583" s="362"/>
      <c r="U583" s="362"/>
      <c r="V583" s="362"/>
      <c r="W583" s="362"/>
      <c r="X583" s="362"/>
      <c r="Y583" s="362"/>
      <c r="Z583" s="362"/>
      <c r="AA583" s="362"/>
      <c r="AB583" s="362"/>
      <c r="AC583" s="362"/>
      <c r="AD583" s="362"/>
      <c r="AE583" s="322" t="s">
        <v>1240</v>
      </c>
      <c r="AF583" s="217" t="s">
        <v>118</v>
      </c>
      <c r="AG583" s="196" t="s">
        <v>223</v>
      </c>
      <c r="AH583" s="302" t="s">
        <v>19</v>
      </c>
      <c r="AI583" s="301" t="s">
        <v>154</v>
      </c>
      <c r="AJ583" s="221"/>
      <c r="AK583" s="221"/>
      <c r="AL583" s="221"/>
      <c r="AM583" s="221"/>
      <c r="AN583" s="221"/>
      <c r="AO583" s="221"/>
      <c r="AP583" s="302" t="s">
        <v>19</v>
      </c>
      <c r="AQ583" s="195">
        <f>SUM(AT583,AW583,AZ583,BC583,BF583,BI583,BL583)</f>
        <v>5364.3077998619683</v>
      </c>
      <c r="AR583" s="197">
        <f>SUM(AT583,AX583,BA583,BD583,BG583,BJ583,BM583)</f>
        <v>0</v>
      </c>
      <c r="AS583" s="195">
        <f>AQ583-AR583</f>
        <v>5364.3077998619683</v>
      </c>
      <c r="AT583" s="315"/>
      <c r="AU583" s="315"/>
      <c r="AV583" s="241"/>
      <c r="AW583" s="198">
        <f>1818.97618561931-AW582</f>
        <v>303.16269760321825</v>
      </c>
      <c r="AX583" s="313"/>
      <c r="AY583" s="199">
        <f>AW583-AX583</f>
        <v>303.16269760321825</v>
      </c>
      <c r="AZ583" s="173"/>
      <c r="BA583" s="313"/>
      <c r="BB583" s="199">
        <f>AZ583-BA583</f>
        <v>0</v>
      </c>
      <c r="BC583" s="198">
        <f>30366.8706135525-BC582</f>
        <v>5061.1451022587498</v>
      </c>
      <c r="BD583" s="313"/>
      <c r="BE583" s="199">
        <f>BC583-BD583</f>
        <v>5061.1451022587498</v>
      </c>
      <c r="BF583" s="198"/>
      <c r="BG583" s="241"/>
      <c r="BH583" s="199">
        <f>BF583-BG583</f>
        <v>0</v>
      </c>
      <c r="BI583" s="198"/>
      <c r="BJ583" s="241"/>
      <c r="BK583" s="199">
        <f>BI583-BJ583</f>
        <v>0</v>
      </c>
      <c r="BL583" s="313"/>
      <c r="BM583" s="313"/>
      <c r="BN583" s="195">
        <f>BL583-BM583</f>
        <v>0</v>
      </c>
      <c r="BO583" s="251">
        <v>0</v>
      </c>
      <c r="BP583" s="364"/>
      <c r="BQ583" s="364"/>
      <c r="BR583" s="364"/>
      <c r="BS583" s="249" t="str">
        <f>AG583 &amp; BO583</f>
        <v>Прочие собственные средства0</v>
      </c>
      <c r="BT583" s="364"/>
      <c r="BU583" s="364"/>
      <c r="BV583" s="364"/>
      <c r="BW583" s="364"/>
      <c r="BX583" s="364"/>
      <c r="BY583" s="249" t="str">
        <f>AG583&amp;AH583</f>
        <v>Прочие собственные средстванет</v>
      </c>
      <c r="BZ583" s="250"/>
    </row>
    <row r="584" spans="3:78" ht="15" customHeight="1">
      <c r="C584" s="306"/>
      <c r="D584" s="367"/>
      <c r="E584" s="370"/>
      <c r="F584" s="406"/>
      <c r="G584" s="376"/>
      <c r="H584" s="379"/>
      <c r="I584" s="382"/>
      <c r="J584" s="382"/>
      <c r="K584" s="385"/>
      <c r="L584" s="388"/>
      <c r="M584" s="391"/>
      <c r="N584" s="395"/>
      <c r="O584" s="398"/>
      <c r="P584" s="401"/>
      <c r="Q584" s="404"/>
      <c r="R584" s="363"/>
      <c r="S584" s="363"/>
      <c r="T584" s="363"/>
      <c r="U584" s="363"/>
      <c r="V584" s="363"/>
      <c r="W584" s="363"/>
      <c r="X584" s="363"/>
      <c r="Y584" s="363"/>
      <c r="Z584" s="363"/>
      <c r="AA584" s="363"/>
      <c r="AB584" s="363"/>
      <c r="AC584" s="363"/>
      <c r="AD584" s="363"/>
      <c r="AE584" s="279" t="s">
        <v>379</v>
      </c>
      <c r="AF584" s="203"/>
      <c r="AG584" s="223" t="s">
        <v>24</v>
      </c>
      <c r="AH584" s="223"/>
      <c r="AI584" s="223"/>
      <c r="AJ584" s="223"/>
      <c r="AK584" s="223"/>
      <c r="AL584" s="223"/>
      <c r="AM584" s="223"/>
      <c r="AN584" s="223"/>
      <c r="AO584" s="223"/>
      <c r="AP584" s="168"/>
      <c r="AQ584" s="169"/>
      <c r="AR584" s="169"/>
      <c r="AS584" s="169"/>
      <c r="AT584" s="169"/>
      <c r="AU584" s="169"/>
      <c r="AV584" s="169"/>
      <c r="AW584" s="169"/>
      <c r="AX584" s="169"/>
      <c r="AY584" s="169"/>
      <c r="AZ584" s="169"/>
      <c r="BA584" s="169"/>
      <c r="BB584" s="169"/>
      <c r="BC584" s="169"/>
      <c r="BD584" s="169"/>
      <c r="BE584" s="169"/>
      <c r="BF584" s="169"/>
      <c r="BG584" s="169"/>
      <c r="BH584" s="169"/>
      <c r="BI584" s="169"/>
      <c r="BJ584" s="169"/>
      <c r="BK584" s="169"/>
      <c r="BL584" s="169"/>
      <c r="BM584" s="169"/>
      <c r="BN584" s="170"/>
      <c r="BO584" s="251"/>
      <c r="BP584" s="364"/>
      <c r="BQ584" s="364"/>
      <c r="BR584" s="364"/>
      <c r="BS584" s="250"/>
      <c r="BT584" s="364"/>
      <c r="BU584" s="364"/>
      <c r="BV584" s="364"/>
      <c r="BW584" s="364"/>
      <c r="BX584" s="364"/>
      <c r="BY584" s="250"/>
    </row>
    <row r="585" spans="3:78" ht="15" customHeight="1" thickBot="1">
      <c r="C585" s="307"/>
      <c r="D585" s="368"/>
      <c r="E585" s="371"/>
      <c r="F585" s="407"/>
      <c r="G585" s="377"/>
      <c r="H585" s="380"/>
      <c r="I585" s="383"/>
      <c r="J585" s="383"/>
      <c r="K585" s="386"/>
      <c r="L585" s="389"/>
      <c r="M585" s="392"/>
      <c r="N585" s="280" t="s">
        <v>380</v>
      </c>
      <c r="O585" s="212"/>
      <c r="P585" s="365" t="s">
        <v>154</v>
      </c>
      <c r="Q585" s="365"/>
      <c r="R585" s="171"/>
      <c r="S585" s="171"/>
      <c r="T585" s="166"/>
      <c r="U585" s="166"/>
      <c r="V585" s="166"/>
      <c r="W585" s="166"/>
      <c r="X585" s="166"/>
      <c r="Y585" s="166"/>
      <c r="Z585" s="166"/>
      <c r="AA585" s="166"/>
      <c r="AB585" s="166"/>
      <c r="AC585" s="166"/>
      <c r="AD585" s="166"/>
      <c r="AE585" s="166"/>
      <c r="AF585" s="166"/>
      <c r="AG585" s="166"/>
      <c r="AH585" s="166"/>
      <c r="AI585" s="166"/>
      <c r="AJ585" s="166"/>
      <c r="AK585" s="166"/>
      <c r="AL585" s="166"/>
      <c r="AM585" s="166"/>
      <c r="AN585" s="166"/>
      <c r="AO585" s="166"/>
      <c r="AP585" s="166"/>
      <c r="AQ585" s="166"/>
      <c r="AR585" s="166"/>
      <c r="AS585" s="166"/>
      <c r="AT585" s="166"/>
      <c r="AU585" s="166"/>
      <c r="AV585" s="166"/>
      <c r="AW585" s="166"/>
      <c r="AX585" s="166"/>
      <c r="AY585" s="166"/>
      <c r="AZ585" s="166"/>
      <c r="BA585" s="166"/>
      <c r="BB585" s="166"/>
      <c r="BC585" s="166"/>
      <c r="BD585" s="166"/>
      <c r="BE585" s="166"/>
      <c r="BF585" s="166"/>
      <c r="BG585" s="166"/>
      <c r="BH585" s="166"/>
      <c r="BI585" s="166"/>
      <c r="BJ585" s="166"/>
      <c r="BK585" s="166"/>
      <c r="BL585" s="166"/>
      <c r="BM585" s="166"/>
      <c r="BN585" s="167"/>
      <c r="BO585" s="251"/>
      <c r="BP585" s="250"/>
      <c r="BQ585" s="250"/>
      <c r="BR585" s="250"/>
      <c r="BS585" s="250"/>
      <c r="BT585" s="250"/>
      <c r="BU585" s="250"/>
      <c r="BY585" s="250"/>
    </row>
    <row r="586" spans="3:78" ht="11.25" customHeight="1">
      <c r="C586" s="97" t="s">
        <v>1240</v>
      </c>
      <c r="D586" s="366" t="s">
        <v>1388</v>
      </c>
      <c r="E586" s="369" t="s">
        <v>199</v>
      </c>
      <c r="F586" s="405" t="s">
        <v>209</v>
      </c>
      <c r="G586" s="375" t="s">
        <v>1408</v>
      </c>
      <c r="H586" s="378" t="s">
        <v>715</v>
      </c>
      <c r="I586" s="381" t="s">
        <v>715</v>
      </c>
      <c r="J586" s="381" t="s">
        <v>716</v>
      </c>
      <c r="K586" s="384">
        <v>1</v>
      </c>
      <c r="L586" s="387" t="s">
        <v>5</v>
      </c>
      <c r="M586" s="390">
        <v>0</v>
      </c>
      <c r="N586" s="163"/>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1"/>
      <c r="AL586" s="161"/>
      <c r="AM586" s="161"/>
      <c r="AN586" s="161"/>
      <c r="AO586" s="161"/>
      <c r="AP586" s="161"/>
      <c r="AQ586" s="161"/>
      <c r="AR586" s="161"/>
      <c r="AS586" s="161"/>
      <c r="AT586" s="161"/>
      <c r="AU586" s="161"/>
      <c r="AV586" s="161"/>
      <c r="AW586" s="161"/>
      <c r="AX586" s="161"/>
      <c r="AY586" s="161"/>
      <c r="AZ586" s="161"/>
      <c r="BA586" s="161"/>
      <c r="BB586" s="161"/>
      <c r="BC586" s="161"/>
      <c r="BD586" s="161"/>
      <c r="BE586" s="161"/>
      <c r="BF586" s="161"/>
      <c r="BG586" s="161"/>
      <c r="BH586" s="161"/>
      <c r="BI586" s="161"/>
      <c r="BJ586" s="161"/>
      <c r="BK586" s="161"/>
      <c r="BL586" s="161"/>
      <c r="BM586" s="161"/>
      <c r="BN586" s="162"/>
      <c r="BO586" s="251"/>
      <c r="BP586" s="250"/>
      <c r="BQ586" s="250"/>
      <c r="BR586" s="250"/>
      <c r="BS586" s="250"/>
      <c r="BT586" s="250"/>
      <c r="BU586" s="250"/>
      <c r="BY586" s="250"/>
    </row>
    <row r="587" spans="3:78" ht="11.25" customHeight="1">
      <c r="C587" s="306"/>
      <c r="D587" s="367"/>
      <c r="E587" s="370"/>
      <c r="F587" s="406"/>
      <c r="G587" s="376"/>
      <c r="H587" s="379"/>
      <c r="I587" s="382"/>
      <c r="J587" s="382"/>
      <c r="K587" s="385"/>
      <c r="L587" s="388"/>
      <c r="M587" s="391"/>
      <c r="N587" s="393"/>
      <c r="O587" s="396">
        <v>1</v>
      </c>
      <c r="P587" s="399" t="s">
        <v>1297</v>
      </c>
      <c r="Q587" s="402"/>
      <c r="R587" s="361" t="s">
        <v>154</v>
      </c>
      <c r="S587" s="361" t="s">
        <v>154</v>
      </c>
      <c r="T587" s="361" t="s">
        <v>154</v>
      </c>
      <c r="U587" s="361" t="s">
        <v>154</v>
      </c>
      <c r="V587" s="361" t="s">
        <v>154</v>
      </c>
      <c r="W587" s="361" t="s">
        <v>154</v>
      </c>
      <c r="X587" s="361" t="s">
        <v>154</v>
      </c>
      <c r="Y587" s="361" t="s">
        <v>154</v>
      </c>
      <c r="Z587" s="361" t="s">
        <v>154</v>
      </c>
      <c r="AA587" s="361" t="s">
        <v>154</v>
      </c>
      <c r="AB587" s="361" t="s">
        <v>154</v>
      </c>
      <c r="AC587" s="361" t="s">
        <v>154</v>
      </c>
      <c r="AD587" s="361" t="s">
        <v>154</v>
      </c>
      <c r="AE587" s="209"/>
      <c r="AF587" s="220">
        <v>0</v>
      </c>
      <c r="AG587" s="219" t="s">
        <v>308</v>
      </c>
      <c r="AH587" s="219"/>
      <c r="AI587" s="219"/>
      <c r="AJ587" s="219"/>
      <c r="AK587" s="219"/>
      <c r="AL587" s="219"/>
      <c r="AM587" s="219"/>
      <c r="AN587" s="219"/>
      <c r="AO587" s="219"/>
      <c r="AP587" s="164"/>
      <c r="AQ587" s="164"/>
      <c r="AR587" s="164"/>
      <c r="AS587" s="164"/>
      <c r="AT587" s="164"/>
      <c r="AU587" s="164"/>
      <c r="AV587" s="164"/>
      <c r="AW587" s="164"/>
      <c r="AX587" s="164"/>
      <c r="AY587" s="164"/>
      <c r="AZ587" s="164"/>
      <c r="BA587" s="164"/>
      <c r="BB587" s="164"/>
      <c r="BC587" s="164"/>
      <c r="BD587" s="164"/>
      <c r="BE587" s="164"/>
      <c r="BF587" s="164"/>
      <c r="BG587" s="164"/>
      <c r="BH587" s="164"/>
      <c r="BI587" s="164"/>
      <c r="BJ587" s="164"/>
      <c r="BK587" s="164"/>
      <c r="BL587" s="164"/>
      <c r="BM587" s="164"/>
      <c r="BN587" s="165"/>
      <c r="BO587" s="251"/>
      <c r="BP587" s="364" t="s">
        <v>1298</v>
      </c>
      <c r="BQ587" s="364" t="s">
        <v>1298</v>
      </c>
      <c r="BR587" s="364" t="s">
        <v>1298</v>
      </c>
      <c r="BS587" s="250"/>
      <c r="BT587" s="364" t="s">
        <v>1298</v>
      </c>
      <c r="BU587" s="364" t="s">
        <v>1298</v>
      </c>
      <c r="BV587" s="364" t="s">
        <v>1298</v>
      </c>
      <c r="BW587" s="364" t="s">
        <v>1298</v>
      </c>
      <c r="BX587" s="364" t="s">
        <v>1298</v>
      </c>
      <c r="BY587" s="250"/>
    </row>
    <row r="588" spans="3:78" ht="14.25">
      <c r="C588" s="306"/>
      <c r="D588" s="367"/>
      <c r="E588" s="370"/>
      <c r="F588" s="406"/>
      <c r="G588" s="376"/>
      <c r="H588" s="379"/>
      <c r="I588" s="382"/>
      <c r="J588" s="382"/>
      <c r="K588" s="385"/>
      <c r="L588" s="388"/>
      <c r="M588" s="391"/>
      <c r="N588" s="394"/>
      <c r="O588" s="397"/>
      <c r="P588" s="400"/>
      <c r="Q588" s="403"/>
      <c r="R588" s="362"/>
      <c r="S588" s="362"/>
      <c r="T588" s="362"/>
      <c r="U588" s="362"/>
      <c r="V588" s="362"/>
      <c r="W588" s="362"/>
      <c r="X588" s="362"/>
      <c r="Y588" s="362"/>
      <c r="Z588" s="362"/>
      <c r="AA588" s="362"/>
      <c r="AB588" s="362"/>
      <c r="AC588" s="362"/>
      <c r="AD588" s="362"/>
      <c r="AE588" s="193"/>
      <c r="AF588" s="217" t="s">
        <v>268</v>
      </c>
      <c r="AG588" s="158" t="s">
        <v>221</v>
      </c>
      <c r="AH588" s="300" t="s">
        <v>19</v>
      </c>
      <c r="AI588" s="301" t="s">
        <v>154</v>
      </c>
      <c r="AJ588" s="221"/>
      <c r="AK588" s="221"/>
      <c r="AL588" s="221"/>
      <c r="AM588" s="221"/>
      <c r="AN588" s="221"/>
      <c r="AO588" s="221"/>
      <c r="AP588" s="302" t="s">
        <v>19</v>
      </c>
      <c r="AQ588" s="195">
        <f>SUM(AT588,AW588,AZ588,BC588,BF588,BI588,BL588)</f>
        <v>2155.1258483473835</v>
      </c>
      <c r="AR588" s="197">
        <f>SUM(AT588,AX588,BA588,BD588,BG588,BJ588,BM588)</f>
        <v>0</v>
      </c>
      <c r="AS588" s="195">
        <f>AQ588-AR588</f>
        <v>2155.1258483473835</v>
      </c>
      <c r="AT588" s="312"/>
      <c r="AU588" s="312"/>
      <c r="AV588" s="244"/>
      <c r="AW588" s="159"/>
      <c r="AX588" s="312"/>
      <c r="AY588" s="194">
        <f>AW588-AX588</f>
        <v>0</v>
      </c>
      <c r="AZ588" s="160"/>
      <c r="BA588" s="312"/>
      <c r="BB588" s="194">
        <f>AZ588-BA588</f>
        <v>0</v>
      </c>
      <c r="BC588" s="159">
        <v>2155.1258483473835</v>
      </c>
      <c r="BD588" s="312"/>
      <c r="BE588" s="194">
        <f>BC588-BD588</f>
        <v>2155.1258483473835</v>
      </c>
      <c r="BF588" s="159"/>
      <c r="BG588" s="244"/>
      <c r="BH588" s="194">
        <f>BF588-BG588</f>
        <v>0</v>
      </c>
      <c r="BI588" s="159"/>
      <c r="BJ588" s="244"/>
      <c r="BK588" s="194">
        <f>BI588-BJ588</f>
        <v>0</v>
      </c>
      <c r="BL588" s="312"/>
      <c r="BM588" s="312"/>
      <c r="BN588" s="195">
        <f>BL588-BM588</f>
        <v>0</v>
      </c>
      <c r="BO588" s="251">
        <v>0</v>
      </c>
      <c r="BP588" s="364"/>
      <c r="BQ588" s="364"/>
      <c r="BR588" s="364"/>
      <c r="BS588" s="249" t="str">
        <f>AG588 &amp; BO588</f>
        <v>Амортизационные отчисления0</v>
      </c>
      <c r="BT588" s="364"/>
      <c r="BU588" s="364"/>
      <c r="BV588" s="364"/>
      <c r="BW588" s="364"/>
      <c r="BX588" s="364"/>
      <c r="BY588" s="249" t="str">
        <f>AG588&amp;AH588</f>
        <v>Амортизационные отчислениянет</v>
      </c>
      <c r="BZ588" s="250"/>
    </row>
    <row r="589" spans="3:78" ht="14.25">
      <c r="C589" s="97"/>
      <c r="D589" s="367"/>
      <c r="E589" s="370"/>
      <c r="F589" s="406"/>
      <c r="G589" s="376"/>
      <c r="H589" s="379"/>
      <c r="I589" s="382"/>
      <c r="J589" s="382"/>
      <c r="K589" s="385"/>
      <c r="L589" s="388"/>
      <c r="M589" s="391"/>
      <c r="N589" s="394"/>
      <c r="O589" s="397"/>
      <c r="P589" s="400"/>
      <c r="Q589" s="403"/>
      <c r="R589" s="362"/>
      <c r="S589" s="362"/>
      <c r="T589" s="362"/>
      <c r="U589" s="362"/>
      <c r="V589" s="362"/>
      <c r="W589" s="362"/>
      <c r="X589" s="362"/>
      <c r="Y589" s="362"/>
      <c r="Z589" s="362"/>
      <c r="AA589" s="362"/>
      <c r="AB589" s="362"/>
      <c r="AC589" s="362"/>
      <c r="AD589" s="362"/>
      <c r="AE589" s="322" t="s">
        <v>1240</v>
      </c>
      <c r="AF589" s="217" t="s">
        <v>118</v>
      </c>
      <c r="AG589" s="196" t="s">
        <v>223</v>
      </c>
      <c r="AH589" s="302" t="s">
        <v>19</v>
      </c>
      <c r="AI589" s="301" t="s">
        <v>154</v>
      </c>
      <c r="AJ589" s="221"/>
      <c r="AK589" s="221"/>
      <c r="AL589" s="221"/>
      <c r="AM589" s="221"/>
      <c r="AN589" s="221"/>
      <c r="AO589" s="221"/>
      <c r="AP589" s="302" t="s">
        <v>19</v>
      </c>
      <c r="AQ589" s="195">
        <f>SUM(AT589,AW589,AZ589,BC589,BF589,BI589,BL589)</f>
        <v>431.02516966947633</v>
      </c>
      <c r="AR589" s="197">
        <f>SUM(AT589,AX589,BA589,BD589,BG589,BJ589,BM589)</f>
        <v>0</v>
      </c>
      <c r="AS589" s="195">
        <f>AQ589-AR589</f>
        <v>431.02516966947633</v>
      </c>
      <c r="AT589" s="315"/>
      <c r="AU589" s="315"/>
      <c r="AV589" s="241"/>
      <c r="AW589" s="198"/>
      <c r="AX589" s="313"/>
      <c r="AY589" s="199">
        <f>AW589-AX589</f>
        <v>0</v>
      </c>
      <c r="AZ589" s="173"/>
      <c r="BA589" s="313"/>
      <c r="BB589" s="199">
        <f>AZ589-BA589</f>
        <v>0</v>
      </c>
      <c r="BC589" s="198">
        <f>2586.15101801686-BC588</f>
        <v>431.02516966947633</v>
      </c>
      <c r="BD589" s="313"/>
      <c r="BE589" s="199">
        <f>BC589-BD589</f>
        <v>431.02516966947633</v>
      </c>
      <c r="BF589" s="198"/>
      <c r="BG589" s="241"/>
      <c r="BH589" s="199">
        <f>BF589-BG589</f>
        <v>0</v>
      </c>
      <c r="BI589" s="198"/>
      <c r="BJ589" s="241"/>
      <c r="BK589" s="199">
        <f>BI589-BJ589</f>
        <v>0</v>
      </c>
      <c r="BL589" s="313"/>
      <c r="BM589" s="313"/>
      <c r="BN589" s="195">
        <f>BL589-BM589</f>
        <v>0</v>
      </c>
      <c r="BO589" s="251">
        <v>0</v>
      </c>
      <c r="BP589" s="364"/>
      <c r="BQ589" s="364"/>
      <c r="BR589" s="364"/>
      <c r="BS589" s="249" t="str">
        <f>AG589 &amp; BO589</f>
        <v>Прочие собственные средства0</v>
      </c>
      <c r="BT589" s="364"/>
      <c r="BU589" s="364"/>
      <c r="BV589" s="364"/>
      <c r="BW589" s="364"/>
      <c r="BX589" s="364"/>
      <c r="BY589" s="249" t="str">
        <f>AG589&amp;AH589</f>
        <v>Прочие собственные средстванет</v>
      </c>
      <c r="BZ589" s="250"/>
    </row>
    <row r="590" spans="3:78" ht="15" customHeight="1">
      <c r="C590" s="306"/>
      <c r="D590" s="367"/>
      <c r="E590" s="370"/>
      <c r="F590" s="406"/>
      <c r="G590" s="376"/>
      <c r="H590" s="379"/>
      <c r="I590" s="382"/>
      <c r="J590" s="382"/>
      <c r="K590" s="385"/>
      <c r="L590" s="388"/>
      <c r="M590" s="391"/>
      <c r="N590" s="395"/>
      <c r="O590" s="398"/>
      <c r="P590" s="401"/>
      <c r="Q590" s="404"/>
      <c r="R590" s="363"/>
      <c r="S590" s="363"/>
      <c r="T590" s="363"/>
      <c r="U590" s="363"/>
      <c r="V590" s="363"/>
      <c r="W590" s="363"/>
      <c r="X590" s="363"/>
      <c r="Y590" s="363"/>
      <c r="Z590" s="363"/>
      <c r="AA590" s="363"/>
      <c r="AB590" s="363"/>
      <c r="AC590" s="363"/>
      <c r="AD590" s="363"/>
      <c r="AE590" s="279" t="s">
        <v>379</v>
      </c>
      <c r="AF590" s="203"/>
      <c r="AG590" s="223" t="s">
        <v>24</v>
      </c>
      <c r="AH590" s="223"/>
      <c r="AI590" s="223"/>
      <c r="AJ590" s="223"/>
      <c r="AK590" s="223"/>
      <c r="AL590" s="223"/>
      <c r="AM590" s="223"/>
      <c r="AN590" s="223"/>
      <c r="AO590" s="223"/>
      <c r="AP590" s="168"/>
      <c r="AQ590" s="169"/>
      <c r="AR590" s="169"/>
      <c r="AS590" s="169"/>
      <c r="AT590" s="169"/>
      <c r="AU590" s="169"/>
      <c r="AV590" s="169"/>
      <c r="AW590" s="169"/>
      <c r="AX590" s="169"/>
      <c r="AY590" s="169"/>
      <c r="AZ590" s="169"/>
      <c r="BA590" s="169"/>
      <c r="BB590" s="169"/>
      <c r="BC590" s="169"/>
      <c r="BD590" s="169"/>
      <c r="BE590" s="169"/>
      <c r="BF590" s="169"/>
      <c r="BG590" s="169"/>
      <c r="BH590" s="169"/>
      <c r="BI590" s="169"/>
      <c r="BJ590" s="169"/>
      <c r="BK590" s="169"/>
      <c r="BL590" s="169"/>
      <c r="BM590" s="169"/>
      <c r="BN590" s="170"/>
      <c r="BO590" s="251"/>
      <c r="BP590" s="364"/>
      <c r="BQ590" s="364"/>
      <c r="BR590" s="364"/>
      <c r="BS590" s="250"/>
      <c r="BT590" s="364"/>
      <c r="BU590" s="364"/>
      <c r="BV590" s="364"/>
      <c r="BW590" s="364"/>
      <c r="BX590" s="364"/>
      <c r="BY590" s="250"/>
    </row>
    <row r="591" spans="3:78" ht="15" customHeight="1" thickBot="1">
      <c r="C591" s="307"/>
      <c r="D591" s="368"/>
      <c r="E591" s="371"/>
      <c r="F591" s="407"/>
      <c r="G591" s="377"/>
      <c r="H591" s="380"/>
      <c r="I591" s="383"/>
      <c r="J591" s="383"/>
      <c r="K591" s="386"/>
      <c r="L591" s="389"/>
      <c r="M591" s="392"/>
      <c r="N591" s="280" t="s">
        <v>380</v>
      </c>
      <c r="O591" s="212"/>
      <c r="P591" s="365" t="s">
        <v>154</v>
      </c>
      <c r="Q591" s="365"/>
      <c r="R591" s="171"/>
      <c r="S591" s="171"/>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6"/>
      <c r="AY591" s="166"/>
      <c r="AZ591" s="166"/>
      <c r="BA591" s="166"/>
      <c r="BB591" s="166"/>
      <c r="BC591" s="166"/>
      <c r="BD591" s="166"/>
      <c r="BE591" s="166"/>
      <c r="BF591" s="166"/>
      <c r="BG591" s="166"/>
      <c r="BH591" s="166"/>
      <c r="BI591" s="166"/>
      <c r="BJ591" s="166"/>
      <c r="BK591" s="166"/>
      <c r="BL591" s="166"/>
      <c r="BM591" s="166"/>
      <c r="BN591" s="167"/>
      <c r="BO591" s="251"/>
      <c r="BP591" s="250"/>
      <c r="BQ591" s="250"/>
      <c r="BR591" s="250"/>
      <c r="BS591" s="250"/>
      <c r="BT591" s="250"/>
      <c r="BU591" s="250"/>
      <c r="BY591" s="250"/>
    </row>
    <row r="592" spans="3:78" ht="11.25" customHeight="1">
      <c r="C592" s="97" t="s">
        <v>1240</v>
      </c>
      <c r="D592" s="366" t="s">
        <v>1389</v>
      </c>
      <c r="E592" s="369" t="s">
        <v>199</v>
      </c>
      <c r="F592" s="405" t="s">
        <v>209</v>
      </c>
      <c r="G592" s="375" t="s">
        <v>1409</v>
      </c>
      <c r="H592" s="378" t="s">
        <v>715</v>
      </c>
      <c r="I592" s="381" t="s">
        <v>715</v>
      </c>
      <c r="J592" s="381" t="s">
        <v>716</v>
      </c>
      <c r="K592" s="384">
        <v>1</v>
      </c>
      <c r="L592" s="387" t="s">
        <v>5</v>
      </c>
      <c r="M592" s="390">
        <v>0</v>
      </c>
      <c r="N592" s="163"/>
      <c r="O592" s="161"/>
      <c r="P592" s="161"/>
      <c r="Q592" s="161"/>
      <c r="R592" s="161"/>
      <c r="S592" s="161"/>
      <c r="T592" s="161"/>
      <c r="U592" s="161"/>
      <c r="V592" s="161"/>
      <c r="W592" s="161"/>
      <c r="X592" s="161"/>
      <c r="Y592" s="161"/>
      <c r="Z592" s="161"/>
      <c r="AA592" s="161"/>
      <c r="AB592" s="161"/>
      <c r="AC592" s="161"/>
      <c r="AD592" s="161"/>
      <c r="AE592" s="161"/>
      <c r="AF592" s="161"/>
      <c r="AG592" s="161"/>
      <c r="AH592" s="161"/>
      <c r="AI592" s="161"/>
      <c r="AJ592" s="161"/>
      <c r="AK592" s="161"/>
      <c r="AL592" s="161"/>
      <c r="AM592" s="161"/>
      <c r="AN592" s="161"/>
      <c r="AO592" s="161"/>
      <c r="AP592" s="161"/>
      <c r="AQ592" s="161"/>
      <c r="AR592" s="161"/>
      <c r="AS592" s="161"/>
      <c r="AT592" s="161"/>
      <c r="AU592" s="161"/>
      <c r="AV592" s="161"/>
      <c r="AW592" s="161"/>
      <c r="AX592" s="161"/>
      <c r="AY592" s="161"/>
      <c r="AZ592" s="161"/>
      <c r="BA592" s="161"/>
      <c r="BB592" s="161"/>
      <c r="BC592" s="161"/>
      <c r="BD592" s="161"/>
      <c r="BE592" s="161"/>
      <c r="BF592" s="161"/>
      <c r="BG592" s="161"/>
      <c r="BH592" s="161"/>
      <c r="BI592" s="161"/>
      <c r="BJ592" s="161"/>
      <c r="BK592" s="161"/>
      <c r="BL592" s="161"/>
      <c r="BM592" s="161"/>
      <c r="BN592" s="162"/>
      <c r="BO592" s="251"/>
      <c r="BP592" s="250"/>
      <c r="BQ592" s="250"/>
      <c r="BR592" s="250"/>
      <c r="BS592" s="250"/>
      <c r="BT592" s="250"/>
      <c r="BU592" s="250"/>
      <c r="BY592" s="250"/>
    </row>
    <row r="593" spans="3:78" ht="11.25" customHeight="1">
      <c r="C593" s="306"/>
      <c r="D593" s="367"/>
      <c r="E593" s="370"/>
      <c r="F593" s="406"/>
      <c r="G593" s="376"/>
      <c r="H593" s="379"/>
      <c r="I593" s="382"/>
      <c r="J593" s="382"/>
      <c r="K593" s="385"/>
      <c r="L593" s="388"/>
      <c r="M593" s="391"/>
      <c r="N593" s="393"/>
      <c r="O593" s="396">
        <v>1</v>
      </c>
      <c r="P593" s="399" t="s">
        <v>1297</v>
      </c>
      <c r="Q593" s="402"/>
      <c r="R593" s="361" t="s">
        <v>154</v>
      </c>
      <c r="S593" s="361" t="s">
        <v>154</v>
      </c>
      <c r="T593" s="361" t="s">
        <v>154</v>
      </c>
      <c r="U593" s="361" t="s">
        <v>154</v>
      </c>
      <c r="V593" s="361" t="s">
        <v>154</v>
      </c>
      <c r="W593" s="361" t="s">
        <v>154</v>
      </c>
      <c r="X593" s="361" t="s">
        <v>154</v>
      </c>
      <c r="Y593" s="361" t="s">
        <v>154</v>
      </c>
      <c r="Z593" s="361" t="s">
        <v>154</v>
      </c>
      <c r="AA593" s="361" t="s">
        <v>154</v>
      </c>
      <c r="AB593" s="361" t="s">
        <v>154</v>
      </c>
      <c r="AC593" s="361" t="s">
        <v>154</v>
      </c>
      <c r="AD593" s="361" t="s">
        <v>154</v>
      </c>
      <c r="AE593" s="209"/>
      <c r="AF593" s="220">
        <v>0</v>
      </c>
      <c r="AG593" s="219" t="s">
        <v>308</v>
      </c>
      <c r="AH593" s="219"/>
      <c r="AI593" s="219"/>
      <c r="AJ593" s="219"/>
      <c r="AK593" s="219"/>
      <c r="AL593" s="219"/>
      <c r="AM593" s="219"/>
      <c r="AN593" s="219"/>
      <c r="AO593" s="219"/>
      <c r="AP593" s="164"/>
      <c r="AQ593" s="164"/>
      <c r="AR593" s="164"/>
      <c r="AS593" s="164"/>
      <c r="AT593" s="164"/>
      <c r="AU593" s="164"/>
      <c r="AV593" s="164"/>
      <c r="AW593" s="164"/>
      <c r="AX593" s="164"/>
      <c r="AY593" s="164"/>
      <c r="AZ593" s="164"/>
      <c r="BA593" s="164"/>
      <c r="BB593" s="164"/>
      <c r="BC593" s="164"/>
      <c r="BD593" s="164"/>
      <c r="BE593" s="164"/>
      <c r="BF593" s="164"/>
      <c r="BG593" s="164"/>
      <c r="BH593" s="164"/>
      <c r="BI593" s="164"/>
      <c r="BJ593" s="164"/>
      <c r="BK593" s="164"/>
      <c r="BL593" s="164"/>
      <c r="BM593" s="164"/>
      <c r="BN593" s="165"/>
      <c r="BO593" s="251"/>
      <c r="BP593" s="364" t="s">
        <v>1298</v>
      </c>
      <c r="BQ593" s="364" t="s">
        <v>1298</v>
      </c>
      <c r="BR593" s="364" t="s">
        <v>1298</v>
      </c>
      <c r="BS593" s="250"/>
      <c r="BT593" s="364" t="s">
        <v>1298</v>
      </c>
      <c r="BU593" s="364" t="s">
        <v>1298</v>
      </c>
      <c r="BV593" s="364" t="s">
        <v>1298</v>
      </c>
      <c r="BW593" s="364" t="s">
        <v>1298</v>
      </c>
      <c r="BX593" s="364" t="s">
        <v>1298</v>
      </c>
      <c r="BY593" s="250"/>
    </row>
    <row r="594" spans="3:78" ht="14.25">
      <c r="C594" s="306"/>
      <c r="D594" s="367"/>
      <c r="E594" s="370"/>
      <c r="F594" s="406"/>
      <c r="G594" s="376"/>
      <c r="H594" s="379"/>
      <c r="I594" s="382"/>
      <c r="J594" s="382"/>
      <c r="K594" s="385"/>
      <c r="L594" s="388"/>
      <c r="M594" s="391"/>
      <c r="N594" s="394"/>
      <c r="O594" s="397"/>
      <c r="P594" s="400"/>
      <c r="Q594" s="403"/>
      <c r="R594" s="362"/>
      <c r="S594" s="362"/>
      <c r="T594" s="362"/>
      <c r="U594" s="362"/>
      <c r="V594" s="362"/>
      <c r="W594" s="362"/>
      <c r="X594" s="362"/>
      <c r="Y594" s="362"/>
      <c r="Z594" s="362"/>
      <c r="AA594" s="362"/>
      <c r="AB594" s="362"/>
      <c r="AC594" s="362"/>
      <c r="AD594" s="362"/>
      <c r="AE594" s="193"/>
      <c r="AF594" s="217" t="s">
        <v>268</v>
      </c>
      <c r="AG594" s="158" t="s">
        <v>221</v>
      </c>
      <c r="AH594" s="300" t="s">
        <v>19</v>
      </c>
      <c r="AI594" s="301" t="s">
        <v>154</v>
      </c>
      <c r="AJ594" s="221"/>
      <c r="AK594" s="221"/>
      <c r="AL594" s="221"/>
      <c r="AM594" s="221"/>
      <c r="AN594" s="221"/>
      <c r="AO594" s="221"/>
      <c r="AP594" s="302" t="s">
        <v>19</v>
      </c>
      <c r="AQ594" s="195">
        <f>SUM(AT594,AW594,AZ594,BC594,BF594,BI594,BL594)</f>
        <v>1160.9773974989168</v>
      </c>
      <c r="AR594" s="197">
        <f>SUM(AT594,AX594,BA594,BD594,BG594,BJ594,BM594)</f>
        <v>0</v>
      </c>
      <c r="AS594" s="195">
        <f>AQ594-AR594</f>
        <v>1160.9773974989168</v>
      </c>
      <c r="AT594" s="312"/>
      <c r="AU594" s="312"/>
      <c r="AV594" s="244"/>
      <c r="AW594" s="159"/>
      <c r="AX594" s="312"/>
      <c r="AY594" s="194">
        <f>AW594-AX594</f>
        <v>0</v>
      </c>
      <c r="AZ594" s="160"/>
      <c r="BA594" s="312"/>
      <c r="BB594" s="194">
        <f>AZ594-BA594</f>
        <v>0</v>
      </c>
      <c r="BC594" s="159">
        <v>1160.9773974989168</v>
      </c>
      <c r="BD594" s="312"/>
      <c r="BE594" s="194">
        <f>BC594-BD594</f>
        <v>1160.9773974989168</v>
      </c>
      <c r="BF594" s="159"/>
      <c r="BG594" s="244"/>
      <c r="BH594" s="194">
        <f>BF594-BG594</f>
        <v>0</v>
      </c>
      <c r="BI594" s="159"/>
      <c r="BJ594" s="244"/>
      <c r="BK594" s="194">
        <f>BI594-BJ594</f>
        <v>0</v>
      </c>
      <c r="BL594" s="312"/>
      <c r="BM594" s="312"/>
      <c r="BN594" s="195">
        <f>BL594-BM594</f>
        <v>0</v>
      </c>
      <c r="BO594" s="251">
        <v>0</v>
      </c>
      <c r="BP594" s="364"/>
      <c r="BQ594" s="364"/>
      <c r="BR594" s="364"/>
      <c r="BS594" s="249" t="str">
        <f>AG594 &amp; BO594</f>
        <v>Амортизационные отчисления0</v>
      </c>
      <c r="BT594" s="364"/>
      <c r="BU594" s="364"/>
      <c r="BV594" s="364"/>
      <c r="BW594" s="364"/>
      <c r="BX594" s="364"/>
      <c r="BY594" s="249" t="str">
        <f>AG594&amp;AH594</f>
        <v>Амортизационные отчислениянет</v>
      </c>
      <c r="BZ594" s="250"/>
    </row>
    <row r="595" spans="3:78" ht="14.25">
      <c r="C595" s="97"/>
      <c r="D595" s="367"/>
      <c r="E595" s="370"/>
      <c r="F595" s="406"/>
      <c r="G595" s="376"/>
      <c r="H595" s="379"/>
      <c r="I595" s="382"/>
      <c r="J595" s="382"/>
      <c r="K595" s="385"/>
      <c r="L595" s="388"/>
      <c r="M595" s="391"/>
      <c r="N595" s="394"/>
      <c r="O595" s="397"/>
      <c r="P595" s="400"/>
      <c r="Q595" s="403"/>
      <c r="R595" s="362"/>
      <c r="S595" s="362"/>
      <c r="T595" s="362"/>
      <c r="U595" s="362"/>
      <c r="V595" s="362"/>
      <c r="W595" s="362"/>
      <c r="X595" s="362"/>
      <c r="Y595" s="362"/>
      <c r="Z595" s="362"/>
      <c r="AA595" s="362"/>
      <c r="AB595" s="362"/>
      <c r="AC595" s="362"/>
      <c r="AD595" s="362"/>
      <c r="AE595" s="322" t="s">
        <v>1240</v>
      </c>
      <c r="AF595" s="217" t="s">
        <v>118</v>
      </c>
      <c r="AG595" s="196" t="s">
        <v>223</v>
      </c>
      <c r="AH595" s="302" t="s">
        <v>19</v>
      </c>
      <c r="AI595" s="301" t="s">
        <v>154</v>
      </c>
      <c r="AJ595" s="221"/>
      <c r="AK595" s="221"/>
      <c r="AL595" s="221"/>
      <c r="AM595" s="221"/>
      <c r="AN595" s="221"/>
      <c r="AO595" s="221"/>
      <c r="AP595" s="302" t="s">
        <v>19</v>
      </c>
      <c r="AQ595" s="195">
        <f>SUM(AT595,AW595,AZ595,BC595,BF595,BI595,BL595)</f>
        <v>232.19547949978323</v>
      </c>
      <c r="AR595" s="197">
        <f>SUM(AT595,AX595,BA595,BD595,BG595,BJ595,BM595)</f>
        <v>0</v>
      </c>
      <c r="AS595" s="195">
        <f>AQ595-AR595</f>
        <v>232.19547949978323</v>
      </c>
      <c r="AT595" s="315"/>
      <c r="AU595" s="315"/>
      <c r="AV595" s="241"/>
      <c r="AW595" s="198"/>
      <c r="AX595" s="313"/>
      <c r="AY595" s="199">
        <f>AW595-AX595</f>
        <v>0</v>
      </c>
      <c r="AZ595" s="173"/>
      <c r="BA595" s="313"/>
      <c r="BB595" s="199">
        <f>AZ595-BA595</f>
        <v>0</v>
      </c>
      <c r="BC595" s="198">
        <f>1393.1728769987-BC594</f>
        <v>232.19547949978323</v>
      </c>
      <c r="BD595" s="313"/>
      <c r="BE595" s="199">
        <f>BC595-BD595</f>
        <v>232.19547949978323</v>
      </c>
      <c r="BF595" s="198"/>
      <c r="BG595" s="241"/>
      <c r="BH595" s="199">
        <f>BF595-BG595</f>
        <v>0</v>
      </c>
      <c r="BI595" s="198"/>
      <c r="BJ595" s="241"/>
      <c r="BK595" s="199">
        <f>BI595-BJ595</f>
        <v>0</v>
      </c>
      <c r="BL595" s="313"/>
      <c r="BM595" s="313"/>
      <c r="BN595" s="195">
        <f>BL595-BM595</f>
        <v>0</v>
      </c>
      <c r="BO595" s="251">
        <v>0</v>
      </c>
      <c r="BP595" s="364"/>
      <c r="BQ595" s="364"/>
      <c r="BR595" s="364"/>
      <c r="BS595" s="249" t="str">
        <f>AG595 &amp; BO595</f>
        <v>Прочие собственные средства0</v>
      </c>
      <c r="BT595" s="364"/>
      <c r="BU595" s="364"/>
      <c r="BV595" s="364"/>
      <c r="BW595" s="364"/>
      <c r="BX595" s="364"/>
      <c r="BY595" s="249" t="str">
        <f>AG595&amp;AH595</f>
        <v>Прочие собственные средстванет</v>
      </c>
      <c r="BZ595" s="250"/>
    </row>
    <row r="596" spans="3:78" ht="15" customHeight="1">
      <c r="C596" s="306"/>
      <c r="D596" s="367"/>
      <c r="E596" s="370"/>
      <c r="F596" s="406"/>
      <c r="G596" s="376"/>
      <c r="H596" s="379"/>
      <c r="I596" s="382"/>
      <c r="J596" s="382"/>
      <c r="K596" s="385"/>
      <c r="L596" s="388"/>
      <c r="M596" s="391"/>
      <c r="N596" s="395"/>
      <c r="O596" s="398"/>
      <c r="P596" s="401"/>
      <c r="Q596" s="404"/>
      <c r="R596" s="363"/>
      <c r="S596" s="363"/>
      <c r="T596" s="363"/>
      <c r="U596" s="363"/>
      <c r="V596" s="363"/>
      <c r="W596" s="363"/>
      <c r="X596" s="363"/>
      <c r="Y596" s="363"/>
      <c r="Z596" s="363"/>
      <c r="AA596" s="363"/>
      <c r="AB596" s="363"/>
      <c r="AC596" s="363"/>
      <c r="AD596" s="363"/>
      <c r="AE596" s="279" t="s">
        <v>379</v>
      </c>
      <c r="AF596" s="203"/>
      <c r="AG596" s="223" t="s">
        <v>24</v>
      </c>
      <c r="AH596" s="223"/>
      <c r="AI596" s="223"/>
      <c r="AJ596" s="223"/>
      <c r="AK596" s="223"/>
      <c r="AL596" s="223"/>
      <c r="AM596" s="223"/>
      <c r="AN596" s="223"/>
      <c r="AO596" s="223"/>
      <c r="AP596" s="168"/>
      <c r="AQ596" s="169"/>
      <c r="AR596" s="169"/>
      <c r="AS596" s="169"/>
      <c r="AT596" s="169"/>
      <c r="AU596" s="169"/>
      <c r="AV596" s="169"/>
      <c r="AW596" s="169"/>
      <c r="AX596" s="169"/>
      <c r="AY596" s="169"/>
      <c r="AZ596" s="169"/>
      <c r="BA596" s="169"/>
      <c r="BB596" s="169"/>
      <c r="BC596" s="169"/>
      <c r="BD596" s="169"/>
      <c r="BE596" s="169"/>
      <c r="BF596" s="169"/>
      <c r="BG596" s="169"/>
      <c r="BH596" s="169"/>
      <c r="BI596" s="169"/>
      <c r="BJ596" s="169"/>
      <c r="BK596" s="169"/>
      <c r="BL596" s="169"/>
      <c r="BM596" s="169"/>
      <c r="BN596" s="170"/>
      <c r="BO596" s="251"/>
      <c r="BP596" s="364"/>
      <c r="BQ596" s="364"/>
      <c r="BR596" s="364"/>
      <c r="BS596" s="250"/>
      <c r="BT596" s="364"/>
      <c r="BU596" s="364"/>
      <c r="BV596" s="364"/>
      <c r="BW596" s="364"/>
      <c r="BX596" s="364"/>
      <c r="BY596" s="250"/>
    </row>
    <row r="597" spans="3:78" ht="15" customHeight="1" thickBot="1">
      <c r="C597" s="307"/>
      <c r="D597" s="368"/>
      <c r="E597" s="371"/>
      <c r="F597" s="407"/>
      <c r="G597" s="377"/>
      <c r="H597" s="380"/>
      <c r="I597" s="383"/>
      <c r="J597" s="383"/>
      <c r="K597" s="386"/>
      <c r="L597" s="389"/>
      <c r="M597" s="392"/>
      <c r="N597" s="280" t="s">
        <v>380</v>
      </c>
      <c r="O597" s="212"/>
      <c r="P597" s="365" t="s">
        <v>154</v>
      </c>
      <c r="Q597" s="365"/>
      <c r="R597" s="171"/>
      <c r="S597" s="171"/>
      <c r="T597" s="166"/>
      <c r="U597" s="166"/>
      <c r="V597" s="166"/>
      <c r="W597" s="166"/>
      <c r="X597" s="166"/>
      <c r="Y597" s="166"/>
      <c r="Z597" s="166"/>
      <c r="AA597" s="166"/>
      <c r="AB597" s="166"/>
      <c r="AC597" s="166"/>
      <c r="AD597" s="166"/>
      <c r="AE597" s="166"/>
      <c r="AF597" s="166"/>
      <c r="AG597" s="166"/>
      <c r="AH597" s="166"/>
      <c r="AI597" s="166"/>
      <c r="AJ597" s="166"/>
      <c r="AK597" s="166"/>
      <c r="AL597" s="166"/>
      <c r="AM597" s="166"/>
      <c r="AN597" s="166"/>
      <c r="AO597" s="166"/>
      <c r="AP597" s="166"/>
      <c r="AQ597" s="166"/>
      <c r="AR597" s="166"/>
      <c r="AS597" s="166"/>
      <c r="AT597" s="166"/>
      <c r="AU597" s="166"/>
      <c r="AV597" s="166"/>
      <c r="AW597" s="166"/>
      <c r="AX597" s="166"/>
      <c r="AY597" s="166"/>
      <c r="AZ597" s="166"/>
      <c r="BA597" s="166"/>
      <c r="BB597" s="166"/>
      <c r="BC597" s="166"/>
      <c r="BD597" s="166"/>
      <c r="BE597" s="166"/>
      <c r="BF597" s="166"/>
      <c r="BG597" s="166"/>
      <c r="BH597" s="166"/>
      <c r="BI597" s="166"/>
      <c r="BJ597" s="166"/>
      <c r="BK597" s="166"/>
      <c r="BL597" s="166"/>
      <c r="BM597" s="166"/>
      <c r="BN597" s="167"/>
      <c r="BO597" s="251"/>
      <c r="BP597" s="250"/>
      <c r="BQ597" s="250"/>
      <c r="BR597" s="250"/>
      <c r="BS597" s="250"/>
      <c r="BT597" s="250"/>
      <c r="BU597" s="250"/>
      <c r="BY597" s="250"/>
    </row>
    <row r="598" spans="3:78" ht="11.25" customHeight="1">
      <c r="C598" s="97" t="s">
        <v>1240</v>
      </c>
      <c r="D598" s="366" t="s">
        <v>1390</v>
      </c>
      <c r="E598" s="369" t="s">
        <v>199</v>
      </c>
      <c r="F598" s="405" t="s">
        <v>209</v>
      </c>
      <c r="G598" s="375" t="s">
        <v>1410</v>
      </c>
      <c r="H598" s="378" t="s">
        <v>715</v>
      </c>
      <c r="I598" s="381" t="s">
        <v>715</v>
      </c>
      <c r="J598" s="381" t="s">
        <v>716</v>
      </c>
      <c r="K598" s="384">
        <v>1</v>
      </c>
      <c r="L598" s="387" t="s">
        <v>5</v>
      </c>
      <c r="M598" s="390">
        <v>0</v>
      </c>
      <c r="N598" s="163"/>
      <c r="O598" s="161"/>
      <c r="P598" s="161"/>
      <c r="Q598" s="161"/>
      <c r="R598" s="161"/>
      <c r="S598" s="161"/>
      <c r="T598" s="161"/>
      <c r="U598" s="161"/>
      <c r="V598" s="161"/>
      <c r="W598" s="161"/>
      <c r="X598" s="161"/>
      <c r="Y598" s="161"/>
      <c r="Z598" s="161"/>
      <c r="AA598" s="161"/>
      <c r="AB598" s="161"/>
      <c r="AC598" s="161"/>
      <c r="AD598" s="161"/>
      <c r="AE598" s="161"/>
      <c r="AF598" s="161"/>
      <c r="AG598" s="161"/>
      <c r="AH598" s="161"/>
      <c r="AI598" s="161"/>
      <c r="AJ598" s="161"/>
      <c r="AK598" s="161"/>
      <c r="AL598" s="161"/>
      <c r="AM598" s="161"/>
      <c r="AN598" s="161"/>
      <c r="AO598" s="161"/>
      <c r="AP598" s="161"/>
      <c r="AQ598" s="161"/>
      <c r="AR598" s="161"/>
      <c r="AS598" s="161"/>
      <c r="AT598" s="161"/>
      <c r="AU598" s="161"/>
      <c r="AV598" s="161"/>
      <c r="AW598" s="161"/>
      <c r="AX598" s="161"/>
      <c r="AY598" s="161"/>
      <c r="AZ598" s="161"/>
      <c r="BA598" s="161"/>
      <c r="BB598" s="161"/>
      <c r="BC598" s="161"/>
      <c r="BD598" s="161"/>
      <c r="BE598" s="161"/>
      <c r="BF598" s="161"/>
      <c r="BG598" s="161"/>
      <c r="BH598" s="161"/>
      <c r="BI598" s="161"/>
      <c r="BJ598" s="161"/>
      <c r="BK598" s="161"/>
      <c r="BL598" s="161"/>
      <c r="BM598" s="161"/>
      <c r="BN598" s="162"/>
      <c r="BO598" s="251"/>
      <c r="BP598" s="250"/>
      <c r="BQ598" s="250"/>
      <c r="BR598" s="250"/>
      <c r="BS598" s="250"/>
      <c r="BT598" s="250"/>
      <c r="BU598" s="250"/>
      <c r="BY598" s="250"/>
    </row>
    <row r="599" spans="3:78" ht="11.25" customHeight="1">
      <c r="C599" s="306"/>
      <c r="D599" s="367"/>
      <c r="E599" s="370"/>
      <c r="F599" s="406"/>
      <c r="G599" s="376"/>
      <c r="H599" s="379"/>
      <c r="I599" s="382"/>
      <c r="J599" s="382"/>
      <c r="K599" s="385"/>
      <c r="L599" s="388"/>
      <c r="M599" s="391"/>
      <c r="N599" s="393"/>
      <c r="O599" s="396">
        <v>1</v>
      </c>
      <c r="P599" s="399" t="s">
        <v>1297</v>
      </c>
      <c r="Q599" s="402"/>
      <c r="R599" s="361" t="s">
        <v>154</v>
      </c>
      <c r="S599" s="361" t="s">
        <v>154</v>
      </c>
      <c r="T599" s="361" t="s">
        <v>154</v>
      </c>
      <c r="U599" s="361" t="s">
        <v>154</v>
      </c>
      <c r="V599" s="361" t="s">
        <v>154</v>
      </c>
      <c r="W599" s="361" t="s">
        <v>154</v>
      </c>
      <c r="X599" s="361" t="s">
        <v>154</v>
      </c>
      <c r="Y599" s="361" t="s">
        <v>154</v>
      </c>
      <c r="Z599" s="361" t="s">
        <v>154</v>
      </c>
      <c r="AA599" s="361" t="s">
        <v>154</v>
      </c>
      <c r="AB599" s="361" t="s">
        <v>154</v>
      </c>
      <c r="AC599" s="361" t="s">
        <v>154</v>
      </c>
      <c r="AD599" s="361" t="s">
        <v>154</v>
      </c>
      <c r="AE599" s="209"/>
      <c r="AF599" s="220">
        <v>0</v>
      </c>
      <c r="AG599" s="219" t="s">
        <v>308</v>
      </c>
      <c r="AH599" s="219"/>
      <c r="AI599" s="219"/>
      <c r="AJ599" s="219"/>
      <c r="AK599" s="219"/>
      <c r="AL599" s="219"/>
      <c r="AM599" s="219"/>
      <c r="AN599" s="219"/>
      <c r="AO599" s="219"/>
      <c r="AP599" s="164"/>
      <c r="AQ599" s="164"/>
      <c r="AR599" s="164"/>
      <c r="AS599" s="164"/>
      <c r="AT599" s="164"/>
      <c r="AU599" s="164"/>
      <c r="AV599" s="164"/>
      <c r="AW599" s="164"/>
      <c r="AX599" s="164"/>
      <c r="AY599" s="164"/>
      <c r="AZ599" s="164"/>
      <c r="BA599" s="164"/>
      <c r="BB599" s="164"/>
      <c r="BC599" s="164"/>
      <c r="BD599" s="164"/>
      <c r="BE599" s="164"/>
      <c r="BF599" s="164"/>
      <c r="BG599" s="164"/>
      <c r="BH599" s="164"/>
      <c r="BI599" s="164"/>
      <c r="BJ599" s="164"/>
      <c r="BK599" s="164"/>
      <c r="BL599" s="164"/>
      <c r="BM599" s="164"/>
      <c r="BN599" s="165"/>
      <c r="BO599" s="251"/>
      <c r="BP599" s="364" t="s">
        <v>1298</v>
      </c>
      <c r="BQ599" s="364" t="s">
        <v>1298</v>
      </c>
      <c r="BR599" s="364" t="s">
        <v>1298</v>
      </c>
      <c r="BS599" s="250"/>
      <c r="BT599" s="364" t="s">
        <v>1298</v>
      </c>
      <c r="BU599" s="364" t="s">
        <v>1298</v>
      </c>
      <c r="BV599" s="364" t="s">
        <v>1298</v>
      </c>
      <c r="BW599" s="364" t="s">
        <v>1298</v>
      </c>
      <c r="BX599" s="364" t="s">
        <v>1298</v>
      </c>
      <c r="BY599" s="250"/>
    </row>
    <row r="600" spans="3:78" ht="14.25">
      <c r="C600" s="306"/>
      <c r="D600" s="367"/>
      <c r="E600" s="370"/>
      <c r="F600" s="406"/>
      <c r="G600" s="376"/>
      <c r="H600" s="379"/>
      <c r="I600" s="382"/>
      <c r="J600" s="382"/>
      <c r="K600" s="385"/>
      <c r="L600" s="388"/>
      <c r="M600" s="391"/>
      <c r="N600" s="394"/>
      <c r="O600" s="397"/>
      <c r="P600" s="400"/>
      <c r="Q600" s="403"/>
      <c r="R600" s="362"/>
      <c r="S600" s="362"/>
      <c r="T600" s="362"/>
      <c r="U600" s="362"/>
      <c r="V600" s="362"/>
      <c r="W600" s="362"/>
      <c r="X600" s="362"/>
      <c r="Y600" s="362"/>
      <c r="Z600" s="362"/>
      <c r="AA600" s="362"/>
      <c r="AB600" s="362"/>
      <c r="AC600" s="362"/>
      <c r="AD600" s="362"/>
      <c r="AE600" s="193"/>
      <c r="AF600" s="217" t="s">
        <v>268</v>
      </c>
      <c r="AG600" s="158" t="s">
        <v>221</v>
      </c>
      <c r="AH600" s="300" t="s">
        <v>19</v>
      </c>
      <c r="AI600" s="301" t="s">
        <v>154</v>
      </c>
      <c r="AJ600" s="221"/>
      <c r="AK600" s="221"/>
      <c r="AL600" s="221"/>
      <c r="AM600" s="221"/>
      <c r="AN600" s="221"/>
      <c r="AO600" s="221"/>
      <c r="AP600" s="302" t="s">
        <v>19</v>
      </c>
      <c r="AQ600" s="195">
        <f>SUM(AT600,AW600,AZ600,BC600,BF600,BI600,BL600)</f>
        <v>1986.4758846805501</v>
      </c>
      <c r="AR600" s="197">
        <f>SUM(AT600,AX600,BA600,BD600,BG600,BJ600,BM600)</f>
        <v>0</v>
      </c>
      <c r="AS600" s="195">
        <f>AQ600-AR600</f>
        <v>1986.4758846805501</v>
      </c>
      <c r="AT600" s="312"/>
      <c r="AU600" s="312"/>
      <c r="AV600" s="244"/>
      <c r="AW600" s="159"/>
      <c r="AX600" s="312"/>
      <c r="AY600" s="194">
        <f>AW600-AX600</f>
        <v>0</v>
      </c>
      <c r="AZ600" s="160"/>
      <c r="BA600" s="312"/>
      <c r="BB600" s="194">
        <f>AZ600-BA600</f>
        <v>0</v>
      </c>
      <c r="BC600" s="159">
        <v>1986.4758846805501</v>
      </c>
      <c r="BD600" s="312"/>
      <c r="BE600" s="194">
        <f>BC600-BD600</f>
        <v>1986.4758846805501</v>
      </c>
      <c r="BF600" s="159"/>
      <c r="BG600" s="244"/>
      <c r="BH600" s="194">
        <f>BF600-BG600</f>
        <v>0</v>
      </c>
      <c r="BI600" s="159"/>
      <c r="BJ600" s="244"/>
      <c r="BK600" s="194">
        <f>BI600-BJ600</f>
        <v>0</v>
      </c>
      <c r="BL600" s="312"/>
      <c r="BM600" s="312"/>
      <c r="BN600" s="195">
        <f>BL600-BM600</f>
        <v>0</v>
      </c>
      <c r="BO600" s="251">
        <v>0</v>
      </c>
      <c r="BP600" s="364"/>
      <c r="BQ600" s="364"/>
      <c r="BR600" s="364"/>
      <c r="BS600" s="249" t="str">
        <f>AG600 &amp; BO600</f>
        <v>Амортизационные отчисления0</v>
      </c>
      <c r="BT600" s="364"/>
      <c r="BU600" s="364"/>
      <c r="BV600" s="364"/>
      <c r="BW600" s="364"/>
      <c r="BX600" s="364"/>
      <c r="BY600" s="249" t="str">
        <f>AG600&amp;AH600</f>
        <v>Амортизационные отчислениянет</v>
      </c>
      <c r="BZ600" s="250"/>
    </row>
    <row r="601" spans="3:78" ht="14.25">
      <c r="C601" s="97"/>
      <c r="D601" s="367"/>
      <c r="E601" s="370"/>
      <c r="F601" s="406"/>
      <c r="G601" s="376"/>
      <c r="H601" s="379"/>
      <c r="I601" s="382"/>
      <c r="J601" s="382"/>
      <c r="K601" s="385"/>
      <c r="L601" s="388"/>
      <c r="M601" s="391"/>
      <c r="N601" s="394"/>
      <c r="O601" s="397"/>
      <c r="P601" s="400"/>
      <c r="Q601" s="403"/>
      <c r="R601" s="362"/>
      <c r="S601" s="362"/>
      <c r="T601" s="362"/>
      <c r="U601" s="362"/>
      <c r="V601" s="362"/>
      <c r="W601" s="362"/>
      <c r="X601" s="362"/>
      <c r="Y601" s="362"/>
      <c r="Z601" s="362"/>
      <c r="AA601" s="362"/>
      <c r="AB601" s="362"/>
      <c r="AC601" s="362"/>
      <c r="AD601" s="362"/>
      <c r="AE601" s="322" t="s">
        <v>1240</v>
      </c>
      <c r="AF601" s="217" t="s">
        <v>118</v>
      </c>
      <c r="AG601" s="196" t="s">
        <v>223</v>
      </c>
      <c r="AH601" s="302" t="s">
        <v>19</v>
      </c>
      <c r="AI601" s="301" t="s">
        <v>154</v>
      </c>
      <c r="AJ601" s="221"/>
      <c r="AK601" s="221"/>
      <c r="AL601" s="221"/>
      <c r="AM601" s="221"/>
      <c r="AN601" s="221"/>
      <c r="AO601" s="221"/>
      <c r="AP601" s="302" t="s">
        <v>19</v>
      </c>
      <c r="AQ601" s="195">
        <f>SUM(AT601,AW601,AZ601,BC601,BF601,BI601,BL601)</f>
        <v>397.29517693611001</v>
      </c>
      <c r="AR601" s="197">
        <f>SUM(AT601,AX601,BA601,BD601,BG601,BJ601,BM601)</f>
        <v>0</v>
      </c>
      <c r="AS601" s="195">
        <f>AQ601-AR601</f>
        <v>397.29517693611001</v>
      </c>
      <c r="AT601" s="315"/>
      <c r="AU601" s="315"/>
      <c r="AV601" s="241"/>
      <c r="AW601" s="198"/>
      <c r="AX601" s="313"/>
      <c r="AY601" s="199">
        <f>AW601-AX601</f>
        <v>0</v>
      </c>
      <c r="AZ601" s="173"/>
      <c r="BA601" s="313"/>
      <c r="BB601" s="199">
        <f>AZ601-BA601</f>
        <v>0</v>
      </c>
      <c r="BC601" s="198">
        <f>2383.77106161666-BC600</f>
        <v>397.29517693611001</v>
      </c>
      <c r="BD601" s="313"/>
      <c r="BE601" s="199">
        <f>BC601-BD601</f>
        <v>397.29517693611001</v>
      </c>
      <c r="BF601" s="198"/>
      <c r="BG601" s="241"/>
      <c r="BH601" s="199">
        <f>BF601-BG601</f>
        <v>0</v>
      </c>
      <c r="BI601" s="198"/>
      <c r="BJ601" s="241"/>
      <c r="BK601" s="199">
        <f>BI601-BJ601</f>
        <v>0</v>
      </c>
      <c r="BL601" s="313"/>
      <c r="BM601" s="313"/>
      <c r="BN601" s="195">
        <f>BL601-BM601</f>
        <v>0</v>
      </c>
      <c r="BO601" s="251">
        <v>0</v>
      </c>
      <c r="BP601" s="364"/>
      <c r="BQ601" s="364"/>
      <c r="BR601" s="364"/>
      <c r="BS601" s="249" t="str">
        <f>AG601 &amp; BO601</f>
        <v>Прочие собственные средства0</v>
      </c>
      <c r="BT601" s="364"/>
      <c r="BU601" s="364"/>
      <c r="BV601" s="364"/>
      <c r="BW601" s="364"/>
      <c r="BX601" s="364"/>
      <c r="BY601" s="249" t="str">
        <f>AG601&amp;AH601</f>
        <v>Прочие собственные средстванет</v>
      </c>
      <c r="BZ601" s="250"/>
    </row>
    <row r="602" spans="3:78" ht="15" customHeight="1">
      <c r="C602" s="306"/>
      <c r="D602" s="367"/>
      <c r="E602" s="370"/>
      <c r="F602" s="406"/>
      <c r="G602" s="376"/>
      <c r="H602" s="379"/>
      <c r="I602" s="382"/>
      <c r="J602" s="382"/>
      <c r="K602" s="385"/>
      <c r="L602" s="388"/>
      <c r="M602" s="391"/>
      <c r="N602" s="395"/>
      <c r="O602" s="398"/>
      <c r="P602" s="401"/>
      <c r="Q602" s="404"/>
      <c r="R602" s="363"/>
      <c r="S602" s="363"/>
      <c r="T602" s="363"/>
      <c r="U602" s="363"/>
      <c r="V602" s="363"/>
      <c r="W602" s="363"/>
      <c r="X602" s="363"/>
      <c r="Y602" s="363"/>
      <c r="Z602" s="363"/>
      <c r="AA602" s="363"/>
      <c r="AB602" s="363"/>
      <c r="AC602" s="363"/>
      <c r="AD602" s="363"/>
      <c r="AE602" s="279" t="s">
        <v>379</v>
      </c>
      <c r="AF602" s="203"/>
      <c r="AG602" s="223" t="s">
        <v>24</v>
      </c>
      <c r="AH602" s="223"/>
      <c r="AI602" s="223"/>
      <c r="AJ602" s="223"/>
      <c r="AK602" s="223"/>
      <c r="AL602" s="223"/>
      <c r="AM602" s="223"/>
      <c r="AN602" s="223"/>
      <c r="AO602" s="223"/>
      <c r="AP602" s="168"/>
      <c r="AQ602" s="169"/>
      <c r="AR602" s="169"/>
      <c r="AS602" s="169"/>
      <c r="AT602" s="169"/>
      <c r="AU602" s="169"/>
      <c r="AV602" s="169"/>
      <c r="AW602" s="169"/>
      <c r="AX602" s="169"/>
      <c r="AY602" s="169"/>
      <c r="AZ602" s="169"/>
      <c r="BA602" s="169"/>
      <c r="BB602" s="169"/>
      <c r="BC602" s="169"/>
      <c r="BD602" s="169"/>
      <c r="BE602" s="169"/>
      <c r="BF602" s="169"/>
      <c r="BG602" s="169"/>
      <c r="BH602" s="169"/>
      <c r="BI602" s="169"/>
      <c r="BJ602" s="169"/>
      <c r="BK602" s="169"/>
      <c r="BL602" s="169"/>
      <c r="BM602" s="169"/>
      <c r="BN602" s="170"/>
      <c r="BO602" s="251"/>
      <c r="BP602" s="364"/>
      <c r="BQ602" s="364"/>
      <c r="BR602" s="364"/>
      <c r="BS602" s="250"/>
      <c r="BT602" s="364"/>
      <c r="BU602" s="364"/>
      <c r="BV602" s="364"/>
      <c r="BW602" s="364"/>
      <c r="BX602" s="364"/>
      <c r="BY602" s="250"/>
    </row>
    <row r="603" spans="3:78" ht="15" customHeight="1" thickBot="1">
      <c r="C603" s="307"/>
      <c r="D603" s="368"/>
      <c r="E603" s="371"/>
      <c r="F603" s="407"/>
      <c r="G603" s="377"/>
      <c r="H603" s="380"/>
      <c r="I603" s="383"/>
      <c r="J603" s="383"/>
      <c r="K603" s="386"/>
      <c r="L603" s="389"/>
      <c r="M603" s="392"/>
      <c r="N603" s="280" t="s">
        <v>380</v>
      </c>
      <c r="O603" s="212"/>
      <c r="P603" s="365" t="s">
        <v>154</v>
      </c>
      <c r="Q603" s="365"/>
      <c r="R603" s="171"/>
      <c r="S603" s="171"/>
      <c r="T603" s="166"/>
      <c r="U603" s="166"/>
      <c r="V603" s="166"/>
      <c r="W603" s="166"/>
      <c r="X603" s="166"/>
      <c r="Y603" s="166"/>
      <c r="Z603" s="166"/>
      <c r="AA603" s="166"/>
      <c r="AB603" s="166"/>
      <c r="AC603" s="166"/>
      <c r="AD603" s="166"/>
      <c r="AE603" s="166"/>
      <c r="AF603" s="166"/>
      <c r="AG603" s="166"/>
      <c r="AH603" s="166"/>
      <c r="AI603" s="166"/>
      <c r="AJ603" s="166"/>
      <c r="AK603" s="166"/>
      <c r="AL603" s="166"/>
      <c r="AM603" s="166"/>
      <c r="AN603" s="166"/>
      <c r="AO603" s="166"/>
      <c r="AP603" s="166"/>
      <c r="AQ603" s="166"/>
      <c r="AR603" s="166"/>
      <c r="AS603" s="166"/>
      <c r="AT603" s="166"/>
      <c r="AU603" s="166"/>
      <c r="AV603" s="166"/>
      <c r="AW603" s="166"/>
      <c r="AX603" s="166"/>
      <c r="AY603" s="166"/>
      <c r="AZ603" s="166"/>
      <c r="BA603" s="166"/>
      <c r="BB603" s="166"/>
      <c r="BC603" s="166"/>
      <c r="BD603" s="166"/>
      <c r="BE603" s="166"/>
      <c r="BF603" s="166"/>
      <c r="BG603" s="166"/>
      <c r="BH603" s="166"/>
      <c r="BI603" s="166"/>
      <c r="BJ603" s="166"/>
      <c r="BK603" s="166"/>
      <c r="BL603" s="166"/>
      <c r="BM603" s="166"/>
      <c r="BN603" s="167"/>
      <c r="BO603" s="251"/>
      <c r="BP603" s="250"/>
      <c r="BQ603" s="250"/>
      <c r="BR603" s="250"/>
      <c r="BS603" s="250"/>
      <c r="BT603" s="250"/>
      <c r="BU603" s="250"/>
      <c r="BY603" s="250"/>
    </row>
    <row r="604" spans="3:78" ht="11.25" customHeight="1">
      <c r="C604" s="97" t="s">
        <v>1240</v>
      </c>
      <c r="D604" s="366" t="s">
        <v>1391</v>
      </c>
      <c r="E604" s="369" t="s">
        <v>199</v>
      </c>
      <c r="F604" s="405" t="s">
        <v>209</v>
      </c>
      <c r="G604" s="375" t="s">
        <v>1411</v>
      </c>
      <c r="H604" s="378" t="s">
        <v>715</v>
      </c>
      <c r="I604" s="381" t="s">
        <v>715</v>
      </c>
      <c r="J604" s="381" t="s">
        <v>716</v>
      </c>
      <c r="K604" s="384">
        <v>1</v>
      </c>
      <c r="L604" s="387" t="s">
        <v>5</v>
      </c>
      <c r="M604" s="390">
        <v>0</v>
      </c>
      <c r="N604" s="163"/>
      <c r="O604" s="161"/>
      <c r="P604" s="161"/>
      <c r="Q604" s="161"/>
      <c r="R604" s="161"/>
      <c r="S604" s="161"/>
      <c r="T604" s="161"/>
      <c r="U604" s="161"/>
      <c r="V604" s="161"/>
      <c r="W604" s="161"/>
      <c r="X604" s="161"/>
      <c r="Y604" s="161"/>
      <c r="Z604" s="161"/>
      <c r="AA604" s="161"/>
      <c r="AB604" s="161"/>
      <c r="AC604" s="161"/>
      <c r="AD604" s="161"/>
      <c r="AE604" s="161"/>
      <c r="AF604" s="161"/>
      <c r="AG604" s="161"/>
      <c r="AH604" s="161"/>
      <c r="AI604" s="161"/>
      <c r="AJ604" s="161"/>
      <c r="AK604" s="161"/>
      <c r="AL604" s="161"/>
      <c r="AM604" s="161"/>
      <c r="AN604" s="161"/>
      <c r="AO604" s="161"/>
      <c r="AP604" s="161"/>
      <c r="AQ604" s="161"/>
      <c r="AR604" s="161"/>
      <c r="AS604" s="161"/>
      <c r="AT604" s="161"/>
      <c r="AU604" s="161"/>
      <c r="AV604" s="161"/>
      <c r="AW604" s="161"/>
      <c r="AX604" s="161"/>
      <c r="AY604" s="161"/>
      <c r="AZ604" s="161"/>
      <c r="BA604" s="161"/>
      <c r="BB604" s="161"/>
      <c r="BC604" s="161"/>
      <c r="BD604" s="161"/>
      <c r="BE604" s="161"/>
      <c r="BF604" s="161"/>
      <c r="BG604" s="161"/>
      <c r="BH604" s="161"/>
      <c r="BI604" s="161"/>
      <c r="BJ604" s="161"/>
      <c r="BK604" s="161"/>
      <c r="BL604" s="161"/>
      <c r="BM604" s="161"/>
      <c r="BN604" s="162"/>
      <c r="BO604" s="251"/>
      <c r="BP604" s="250"/>
      <c r="BQ604" s="250"/>
      <c r="BR604" s="250"/>
      <c r="BS604" s="250"/>
      <c r="BT604" s="250"/>
      <c r="BU604" s="250"/>
      <c r="BY604" s="250"/>
    </row>
    <row r="605" spans="3:78" ht="11.25" customHeight="1">
      <c r="C605" s="306"/>
      <c r="D605" s="367"/>
      <c r="E605" s="370"/>
      <c r="F605" s="406"/>
      <c r="G605" s="376"/>
      <c r="H605" s="379"/>
      <c r="I605" s="382"/>
      <c r="J605" s="382"/>
      <c r="K605" s="385"/>
      <c r="L605" s="388"/>
      <c r="M605" s="391"/>
      <c r="N605" s="393"/>
      <c r="O605" s="396">
        <v>1</v>
      </c>
      <c r="P605" s="399" t="s">
        <v>1297</v>
      </c>
      <c r="Q605" s="402"/>
      <c r="R605" s="361" t="s">
        <v>154</v>
      </c>
      <c r="S605" s="361" t="s">
        <v>154</v>
      </c>
      <c r="T605" s="361" t="s">
        <v>154</v>
      </c>
      <c r="U605" s="361" t="s">
        <v>154</v>
      </c>
      <c r="V605" s="361" t="s">
        <v>154</v>
      </c>
      <c r="W605" s="361" t="s">
        <v>154</v>
      </c>
      <c r="X605" s="361" t="s">
        <v>154</v>
      </c>
      <c r="Y605" s="361" t="s">
        <v>154</v>
      </c>
      <c r="Z605" s="361" t="s">
        <v>154</v>
      </c>
      <c r="AA605" s="361" t="s">
        <v>154</v>
      </c>
      <c r="AB605" s="361" t="s">
        <v>154</v>
      </c>
      <c r="AC605" s="361" t="s">
        <v>154</v>
      </c>
      <c r="AD605" s="361" t="s">
        <v>154</v>
      </c>
      <c r="AE605" s="209"/>
      <c r="AF605" s="220">
        <v>0</v>
      </c>
      <c r="AG605" s="219" t="s">
        <v>308</v>
      </c>
      <c r="AH605" s="219"/>
      <c r="AI605" s="219"/>
      <c r="AJ605" s="219"/>
      <c r="AK605" s="219"/>
      <c r="AL605" s="219"/>
      <c r="AM605" s="219"/>
      <c r="AN605" s="219"/>
      <c r="AO605" s="219"/>
      <c r="AP605" s="164"/>
      <c r="AQ605" s="164"/>
      <c r="AR605" s="164"/>
      <c r="AS605" s="164"/>
      <c r="AT605" s="164"/>
      <c r="AU605" s="164"/>
      <c r="AV605" s="164"/>
      <c r="AW605" s="164"/>
      <c r="AX605" s="164"/>
      <c r="AY605" s="164"/>
      <c r="AZ605" s="164"/>
      <c r="BA605" s="164"/>
      <c r="BB605" s="164"/>
      <c r="BC605" s="164"/>
      <c r="BD605" s="164"/>
      <c r="BE605" s="164"/>
      <c r="BF605" s="164"/>
      <c r="BG605" s="164"/>
      <c r="BH605" s="164"/>
      <c r="BI605" s="164"/>
      <c r="BJ605" s="164"/>
      <c r="BK605" s="164"/>
      <c r="BL605" s="164"/>
      <c r="BM605" s="164"/>
      <c r="BN605" s="165"/>
      <c r="BO605" s="251"/>
      <c r="BP605" s="364" t="s">
        <v>1298</v>
      </c>
      <c r="BQ605" s="364" t="s">
        <v>1298</v>
      </c>
      <c r="BR605" s="364" t="s">
        <v>1298</v>
      </c>
      <c r="BS605" s="250"/>
      <c r="BT605" s="364" t="s">
        <v>1298</v>
      </c>
      <c r="BU605" s="364" t="s">
        <v>1298</v>
      </c>
      <c r="BV605" s="364" t="s">
        <v>1298</v>
      </c>
      <c r="BW605" s="364" t="s">
        <v>1298</v>
      </c>
      <c r="BX605" s="364" t="s">
        <v>1298</v>
      </c>
      <c r="BY605" s="250"/>
    </row>
    <row r="606" spans="3:78" ht="14.25">
      <c r="C606" s="306"/>
      <c r="D606" s="367"/>
      <c r="E606" s="370"/>
      <c r="F606" s="406"/>
      <c r="G606" s="376"/>
      <c r="H606" s="379"/>
      <c r="I606" s="382"/>
      <c r="J606" s="382"/>
      <c r="K606" s="385"/>
      <c r="L606" s="388"/>
      <c r="M606" s="391"/>
      <c r="N606" s="394"/>
      <c r="O606" s="397"/>
      <c r="P606" s="400"/>
      <c r="Q606" s="403"/>
      <c r="R606" s="362"/>
      <c r="S606" s="362"/>
      <c r="T606" s="362"/>
      <c r="U606" s="362"/>
      <c r="V606" s="362"/>
      <c r="W606" s="362"/>
      <c r="X606" s="362"/>
      <c r="Y606" s="362"/>
      <c r="Z606" s="362"/>
      <c r="AA606" s="362"/>
      <c r="AB606" s="362"/>
      <c r="AC606" s="362"/>
      <c r="AD606" s="362"/>
      <c r="AE606" s="193"/>
      <c r="AF606" s="217" t="s">
        <v>268</v>
      </c>
      <c r="AG606" s="158" t="s">
        <v>221</v>
      </c>
      <c r="AH606" s="300" t="s">
        <v>19</v>
      </c>
      <c r="AI606" s="301" t="s">
        <v>154</v>
      </c>
      <c r="AJ606" s="221"/>
      <c r="AK606" s="221"/>
      <c r="AL606" s="221"/>
      <c r="AM606" s="221"/>
      <c r="AN606" s="221"/>
      <c r="AO606" s="221"/>
      <c r="AP606" s="302" t="s">
        <v>19</v>
      </c>
      <c r="AQ606" s="195">
        <f>SUM(AT606,AW606,AZ606,BC606,BF606,BI606,BL606)</f>
        <v>1393.8640626444667</v>
      </c>
      <c r="AR606" s="197">
        <f>SUM(AT606,AX606,BA606,BD606,BG606,BJ606,BM606)</f>
        <v>0</v>
      </c>
      <c r="AS606" s="195">
        <f>AQ606-AR606</f>
        <v>1393.8640626444667</v>
      </c>
      <c r="AT606" s="312"/>
      <c r="AU606" s="312"/>
      <c r="AV606" s="244"/>
      <c r="AW606" s="159"/>
      <c r="AX606" s="312"/>
      <c r="AY606" s="194">
        <f>AW606-AX606</f>
        <v>0</v>
      </c>
      <c r="AZ606" s="160"/>
      <c r="BA606" s="312"/>
      <c r="BB606" s="194">
        <f>AZ606-BA606</f>
        <v>0</v>
      </c>
      <c r="BC606" s="159">
        <v>1393.8640626444667</v>
      </c>
      <c r="BD606" s="312"/>
      <c r="BE606" s="194">
        <f>BC606-BD606</f>
        <v>1393.8640626444667</v>
      </c>
      <c r="BF606" s="159"/>
      <c r="BG606" s="244"/>
      <c r="BH606" s="194">
        <f>BF606-BG606</f>
        <v>0</v>
      </c>
      <c r="BI606" s="159"/>
      <c r="BJ606" s="244"/>
      <c r="BK606" s="194">
        <f>BI606-BJ606</f>
        <v>0</v>
      </c>
      <c r="BL606" s="312"/>
      <c r="BM606" s="312"/>
      <c r="BN606" s="195">
        <f>BL606-BM606</f>
        <v>0</v>
      </c>
      <c r="BO606" s="251">
        <v>0</v>
      </c>
      <c r="BP606" s="364"/>
      <c r="BQ606" s="364"/>
      <c r="BR606" s="364"/>
      <c r="BS606" s="249" t="str">
        <f>AG606 &amp; BO606</f>
        <v>Амортизационные отчисления0</v>
      </c>
      <c r="BT606" s="364"/>
      <c r="BU606" s="364"/>
      <c r="BV606" s="364"/>
      <c r="BW606" s="364"/>
      <c r="BX606" s="364"/>
      <c r="BY606" s="249" t="str">
        <f>AG606&amp;AH606</f>
        <v>Амортизационные отчислениянет</v>
      </c>
      <c r="BZ606" s="250"/>
    </row>
    <row r="607" spans="3:78" ht="14.25">
      <c r="C607" s="97"/>
      <c r="D607" s="367"/>
      <c r="E607" s="370"/>
      <c r="F607" s="406"/>
      <c r="G607" s="376"/>
      <c r="H607" s="379"/>
      <c r="I607" s="382"/>
      <c r="J607" s="382"/>
      <c r="K607" s="385"/>
      <c r="L607" s="388"/>
      <c r="M607" s="391"/>
      <c r="N607" s="394"/>
      <c r="O607" s="397"/>
      <c r="P607" s="400"/>
      <c r="Q607" s="403"/>
      <c r="R607" s="362"/>
      <c r="S607" s="362"/>
      <c r="T607" s="362"/>
      <c r="U607" s="362"/>
      <c r="V607" s="362"/>
      <c r="W607" s="362"/>
      <c r="X607" s="362"/>
      <c r="Y607" s="362"/>
      <c r="Z607" s="362"/>
      <c r="AA607" s="362"/>
      <c r="AB607" s="362"/>
      <c r="AC607" s="362"/>
      <c r="AD607" s="362"/>
      <c r="AE607" s="322" t="s">
        <v>1240</v>
      </c>
      <c r="AF607" s="217" t="s">
        <v>118</v>
      </c>
      <c r="AG607" s="196" t="s">
        <v>223</v>
      </c>
      <c r="AH607" s="302" t="s">
        <v>19</v>
      </c>
      <c r="AI607" s="301" t="s">
        <v>154</v>
      </c>
      <c r="AJ607" s="221"/>
      <c r="AK607" s="221"/>
      <c r="AL607" s="221"/>
      <c r="AM607" s="221"/>
      <c r="AN607" s="221"/>
      <c r="AO607" s="221"/>
      <c r="AP607" s="302" t="s">
        <v>19</v>
      </c>
      <c r="AQ607" s="195">
        <f>SUM(AT607,AW607,AZ607,BC607,BF607,BI607,BL607)</f>
        <v>278.77281252889338</v>
      </c>
      <c r="AR607" s="197">
        <f>SUM(AT607,AX607,BA607,BD607,BG607,BJ607,BM607)</f>
        <v>0</v>
      </c>
      <c r="AS607" s="195">
        <f>AQ607-AR607</f>
        <v>278.77281252889338</v>
      </c>
      <c r="AT607" s="315"/>
      <c r="AU607" s="315"/>
      <c r="AV607" s="241"/>
      <c r="AW607" s="198"/>
      <c r="AX607" s="313"/>
      <c r="AY607" s="199">
        <f>AW607-AX607</f>
        <v>0</v>
      </c>
      <c r="AZ607" s="173"/>
      <c r="BA607" s="313"/>
      <c r="BB607" s="199">
        <f>AZ607-BA607</f>
        <v>0</v>
      </c>
      <c r="BC607" s="198">
        <f>1672.63687517336-BC606</f>
        <v>278.77281252889338</v>
      </c>
      <c r="BD607" s="313"/>
      <c r="BE607" s="199">
        <f>BC607-BD607</f>
        <v>278.77281252889338</v>
      </c>
      <c r="BF607" s="198"/>
      <c r="BG607" s="241"/>
      <c r="BH607" s="199">
        <f>BF607-BG607</f>
        <v>0</v>
      </c>
      <c r="BI607" s="198"/>
      <c r="BJ607" s="241"/>
      <c r="BK607" s="199">
        <f>BI607-BJ607</f>
        <v>0</v>
      </c>
      <c r="BL607" s="313"/>
      <c r="BM607" s="313"/>
      <c r="BN607" s="195">
        <f>BL607-BM607</f>
        <v>0</v>
      </c>
      <c r="BO607" s="251">
        <v>0</v>
      </c>
      <c r="BP607" s="364"/>
      <c r="BQ607" s="364"/>
      <c r="BR607" s="364"/>
      <c r="BS607" s="249" t="str">
        <f>AG607 &amp; BO607</f>
        <v>Прочие собственные средства0</v>
      </c>
      <c r="BT607" s="364"/>
      <c r="BU607" s="364"/>
      <c r="BV607" s="364"/>
      <c r="BW607" s="364"/>
      <c r="BX607" s="364"/>
      <c r="BY607" s="249" t="str">
        <f>AG607&amp;AH607</f>
        <v>Прочие собственные средстванет</v>
      </c>
      <c r="BZ607" s="250"/>
    </row>
    <row r="608" spans="3:78" ht="15" customHeight="1">
      <c r="C608" s="306"/>
      <c r="D608" s="367"/>
      <c r="E608" s="370"/>
      <c r="F608" s="406"/>
      <c r="G608" s="376"/>
      <c r="H608" s="379"/>
      <c r="I608" s="382"/>
      <c r="J608" s="382"/>
      <c r="K608" s="385"/>
      <c r="L608" s="388"/>
      <c r="M608" s="391"/>
      <c r="N608" s="395"/>
      <c r="O608" s="398"/>
      <c r="P608" s="401"/>
      <c r="Q608" s="404"/>
      <c r="R608" s="363"/>
      <c r="S608" s="363"/>
      <c r="T608" s="363"/>
      <c r="U608" s="363"/>
      <c r="V608" s="363"/>
      <c r="W608" s="363"/>
      <c r="X608" s="363"/>
      <c r="Y608" s="363"/>
      <c r="Z608" s="363"/>
      <c r="AA608" s="363"/>
      <c r="AB608" s="363"/>
      <c r="AC608" s="363"/>
      <c r="AD608" s="363"/>
      <c r="AE608" s="279" t="s">
        <v>379</v>
      </c>
      <c r="AF608" s="203"/>
      <c r="AG608" s="223" t="s">
        <v>24</v>
      </c>
      <c r="AH608" s="223"/>
      <c r="AI608" s="223"/>
      <c r="AJ608" s="223"/>
      <c r="AK608" s="223"/>
      <c r="AL608" s="223"/>
      <c r="AM608" s="223"/>
      <c r="AN608" s="223"/>
      <c r="AO608" s="223"/>
      <c r="AP608" s="168"/>
      <c r="AQ608" s="169"/>
      <c r="AR608" s="169"/>
      <c r="AS608" s="169"/>
      <c r="AT608" s="169"/>
      <c r="AU608" s="169"/>
      <c r="AV608" s="169"/>
      <c r="AW608" s="169"/>
      <c r="AX608" s="169"/>
      <c r="AY608" s="169"/>
      <c r="AZ608" s="169"/>
      <c r="BA608" s="169"/>
      <c r="BB608" s="169"/>
      <c r="BC608" s="169"/>
      <c r="BD608" s="169"/>
      <c r="BE608" s="169"/>
      <c r="BF608" s="169"/>
      <c r="BG608" s="169"/>
      <c r="BH608" s="169"/>
      <c r="BI608" s="169"/>
      <c r="BJ608" s="169"/>
      <c r="BK608" s="169"/>
      <c r="BL608" s="169"/>
      <c r="BM608" s="169"/>
      <c r="BN608" s="170"/>
      <c r="BO608" s="251"/>
      <c r="BP608" s="364"/>
      <c r="BQ608" s="364"/>
      <c r="BR608" s="364"/>
      <c r="BS608" s="250"/>
      <c r="BT608" s="364"/>
      <c r="BU608" s="364"/>
      <c r="BV608" s="364"/>
      <c r="BW608" s="364"/>
      <c r="BX608" s="364"/>
      <c r="BY608" s="250"/>
    </row>
    <row r="609" spans="3:78" ht="15" customHeight="1" thickBot="1">
      <c r="C609" s="307"/>
      <c r="D609" s="368"/>
      <c r="E609" s="371"/>
      <c r="F609" s="407"/>
      <c r="G609" s="377"/>
      <c r="H609" s="380"/>
      <c r="I609" s="383"/>
      <c r="J609" s="383"/>
      <c r="K609" s="386"/>
      <c r="L609" s="389"/>
      <c r="M609" s="392"/>
      <c r="N609" s="280" t="s">
        <v>380</v>
      </c>
      <c r="O609" s="212"/>
      <c r="P609" s="365" t="s">
        <v>154</v>
      </c>
      <c r="Q609" s="365"/>
      <c r="R609" s="171"/>
      <c r="S609" s="171"/>
      <c r="T609" s="166"/>
      <c r="U609" s="166"/>
      <c r="V609" s="166"/>
      <c r="W609" s="166"/>
      <c r="X609" s="166"/>
      <c r="Y609" s="166"/>
      <c r="Z609" s="166"/>
      <c r="AA609" s="166"/>
      <c r="AB609" s="166"/>
      <c r="AC609" s="166"/>
      <c r="AD609" s="166"/>
      <c r="AE609" s="166"/>
      <c r="AF609" s="166"/>
      <c r="AG609" s="166"/>
      <c r="AH609" s="166"/>
      <c r="AI609" s="166"/>
      <c r="AJ609" s="166"/>
      <c r="AK609" s="166"/>
      <c r="AL609" s="166"/>
      <c r="AM609" s="166"/>
      <c r="AN609" s="166"/>
      <c r="AO609" s="166"/>
      <c r="AP609" s="166"/>
      <c r="AQ609" s="166"/>
      <c r="AR609" s="166"/>
      <c r="AS609" s="166"/>
      <c r="AT609" s="166"/>
      <c r="AU609" s="166"/>
      <c r="AV609" s="166"/>
      <c r="AW609" s="166"/>
      <c r="AX609" s="166"/>
      <c r="AY609" s="166"/>
      <c r="AZ609" s="166"/>
      <c r="BA609" s="166"/>
      <c r="BB609" s="166"/>
      <c r="BC609" s="166"/>
      <c r="BD609" s="166"/>
      <c r="BE609" s="166"/>
      <c r="BF609" s="166"/>
      <c r="BG609" s="166"/>
      <c r="BH609" s="166"/>
      <c r="BI609" s="166"/>
      <c r="BJ609" s="166"/>
      <c r="BK609" s="166"/>
      <c r="BL609" s="166"/>
      <c r="BM609" s="166"/>
      <c r="BN609" s="167"/>
      <c r="BO609" s="251"/>
      <c r="BP609" s="250"/>
      <c r="BQ609" s="250"/>
      <c r="BR609" s="250"/>
      <c r="BS609" s="250"/>
      <c r="BT609" s="250"/>
      <c r="BU609" s="250"/>
      <c r="BY609" s="250"/>
    </row>
    <row r="610" spans="3:78" ht="11.25" customHeight="1">
      <c r="C610" s="97" t="s">
        <v>1240</v>
      </c>
      <c r="D610" s="366" t="s">
        <v>1392</v>
      </c>
      <c r="E610" s="369" t="s">
        <v>199</v>
      </c>
      <c r="F610" s="405" t="s">
        <v>209</v>
      </c>
      <c r="G610" s="375" t="s">
        <v>1497</v>
      </c>
      <c r="H610" s="378" t="s">
        <v>715</v>
      </c>
      <c r="I610" s="381" t="s">
        <v>715</v>
      </c>
      <c r="J610" s="381" t="s">
        <v>716</v>
      </c>
      <c r="K610" s="384">
        <v>1</v>
      </c>
      <c r="L610" s="387" t="s">
        <v>5</v>
      </c>
      <c r="M610" s="390">
        <v>0</v>
      </c>
      <c r="N610" s="163"/>
      <c r="O610" s="161"/>
      <c r="P610" s="161"/>
      <c r="Q610" s="161"/>
      <c r="R610" s="161"/>
      <c r="S610" s="161"/>
      <c r="T610" s="161"/>
      <c r="U610" s="161"/>
      <c r="V610" s="161"/>
      <c r="W610" s="161"/>
      <c r="X610" s="161"/>
      <c r="Y610" s="161"/>
      <c r="Z610" s="161"/>
      <c r="AA610" s="161"/>
      <c r="AB610" s="161"/>
      <c r="AC610" s="161"/>
      <c r="AD610" s="161"/>
      <c r="AE610" s="161"/>
      <c r="AF610" s="161"/>
      <c r="AG610" s="161"/>
      <c r="AH610" s="161"/>
      <c r="AI610" s="161"/>
      <c r="AJ610" s="161"/>
      <c r="AK610" s="161"/>
      <c r="AL610" s="161"/>
      <c r="AM610" s="161"/>
      <c r="AN610" s="161"/>
      <c r="AO610" s="161"/>
      <c r="AP610" s="161"/>
      <c r="AQ610" s="161"/>
      <c r="AR610" s="161"/>
      <c r="AS610" s="161"/>
      <c r="AT610" s="161"/>
      <c r="AU610" s="161"/>
      <c r="AV610" s="161"/>
      <c r="AW610" s="161"/>
      <c r="AX610" s="161"/>
      <c r="AY610" s="161"/>
      <c r="AZ610" s="161"/>
      <c r="BA610" s="161"/>
      <c r="BB610" s="161"/>
      <c r="BC610" s="161"/>
      <c r="BD610" s="161"/>
      <c r="BE610" s="161"/>
      <c r="BF610" s="161"/>
      <c r="BG610" s="161"/>
      <c r="BH610" s="161"/>
      <c r="BI610" s="161"/>
      <c r="BJ610" s="161"/>
      <c r="BK610" s="161"/>
      <c r="BL610" s="161"/>
      <c r="BM610" s="161"/>
      <c r="BN610" s="162"/>
      <c r="BO610" s="251"/>
      <c r="BP610" s="250"/>
      <c r="BQ610" s="250"/>
      <c r="BR610" s="250"/>
      <c r="BS610" s="250"/>
      <c r="BT610" s="250"/>
      <c r="BU610" s="250"/>
      <c r="BY610" s="250"/>
    </row>
    <row r="611" spans="3:78" ht="11.25" customHeight="1">
      <c r="C611" s="306"/>
      <c r="D611" s="367"/>
      <c r="E611" s="370"/>
      <c r="F611" s="406"/>
      <c r="G611" s="376"/>
      <c r="H611" s="379"/>
      <c r="I611" s="382"/>
      <c r="J611" s="382"/>
      <c r="K611" s="385"/>
      <c r="L611" s="388"/>
      <c r="M611" s="391"/>
      <c r="N611" s="393"/>
      <c r="O611" s="396">
        <v>1</v>
      </c>
      <c r="P611" s="399" t="s">
        <v>1297</v>
      </c>
      <c r="Q611" s="402"/>
      <c r="R611" s="361" t="s">
        <v>154</v>
      </c>
      <c r="S611" s="361" t="s">
        <v>154</v>
      </c>
      <c r="T611" s="361" t="s">
        <v>154</v>
      </c>
      <c r="U611" s="361" t="s">
        <v>154</v>
      </c>
      <c r="V611" s="361" t="s">
        <v>154</v>
      </c>
      <c r="W611" s="361" t="s">
        <v>154</v>
      </c>
      <c r="X611" s="361" t="s">
        <v>154</v>
      </c>
      <c r="Y611" s="361" t="s">
        <v>154</v>
      </c>
      <c r="Z611" s="361" t="s">
        <v>154</v>
      </c>
      <c r="AA611" s="361" t="s">
        <v>154</v>
      </c>
      <c r="AB611" s="361" t="s">
        <v>154</v>
      </c>
      <c r="AC611" s="361" t="s">
        <v>154</v>
      </c>
      <c r="AD611" s="361" t="s">
        <v>154</v>
      </c>
      <c r="AE611" s="209"/>
      <c r="AF611" s="220">
        <v>0</v>
      </c>
      <c r="AG611" s="219" t="s">
        <v>308</v>
      </c>
      <c r="AH611" s="219"/>
      <c r="AI611" s="219"/>
      <c r="AJ611" s="219"/>
      <c r="AK611" s="219"/>
      <c r="AL611" s="219"/>
      <c r="AM611" s="219"/>
      <c r="AN611" s="219"/>
      <c r="AO611" s="219"/>
      <c r="AP611" s="164"/>
      <c r="AQ611" s="164"/>
      <c r="AR611" s="164"/>
      <c r="AS611" s="164"/>
      <c r="AT611" s="164"/>
      <c r="AU611" s="164"/>
      <c r="AV611" s="164"/>
      <c r="AW611" s="164"/>
      <c r="AX611" s="164"/>
      <c r="AY611" s="164"/>
      <c r="AZ611" s="164"/>
      <c r="BA611" s="164"/>
      <c r="BB611" s="164"/>
      <c r="BC611" s="164"/>
      <c r="BD611" s="164"/>
      <c r="BE611" s="164"/>
      <c r="BF611" s="164"/>
      <c r="BG611" s="164"/>
      <c r="BH611" s="164"/>
      <c r="BI611" s="164"/>
      <c r="BJ611" s="164"/>
      <c r="BK611" s="164"/>
      <c r="BL611" s="164"/>
      <c r="BM611" s="164"/>
      <c r="BN611" s="165"/>
      <c r="BO611" s="251"/>
      <c r="BP611" s="364" t="s">
        <v>1298</v>
      </c>
      <c r="BQ611" s="364" t="s">
        <v>1298</v>
      </c>
      <c r="BR611" s="364" t="s">
        <v>1298</v>
      </c>
      <c r="BS611" s="250"/>
      <c r="BT611" s="364" t="s">
        <v>1298</v>
      </c>
      <c r="BU611" s="364" t="s">
        <v>1298</v>
      </c>
      <c r="BV611" s="364" t="s">
        <v>1298</v>
      </c>
      <c r="BW611" s="364" t="s">
        <v>1298</v>
      </c>
      <c r="BX611" s="364" t="s">
        <v>1298</v>
      </c>
      <c r="BY611" s="250"/>
    </row>
    <row r="612" spans="3:78" ht="14.25">
      <c r="C612" s="306"/>
      <c r="D612" s="367"/>
      <c r="E612" s="370"/>
      <c r="F612" s="406"/>
      <c r="G612" s="376"/>
      <c r="H612" s="379"/>
      <c r="I612" s="382"/>
      <c r="J612" s="382"/>
      <c r="K612" s="385"/>
      <c r="L612" s="388"/>
      <c r="M612" s="391"/>
      <c r="N612" s="394"/>
      <c r="O612" s="397"/>
      <c r="P612" s="400"/>
      <c r="Q612" s="403"/>
      <c r="R612" s="362"/>
      <c r="S612" s="362"/>
      <c r="T612" s="362"/>
      <c r="U612" s="362"/>
      <c r="V612" s="362"/>
      <c r="W612" s="362"/>
      <c r="X612" s="362"/>
      <c r="Y612" s="362"/>
      <c r="Z612" s="362"/>
      <c r="AA612" s="362"/>
      <c r="AB612" s="362"/>
      <c r="AC612" s="362"/>
      <c r="AD612" s="362"/>
      <c r="AE612" s="193"/>
      <c r="AF612" s="217" t="s">
        <v>268</v>
      </c>
      <c r="AG612" s="158" t="s">
        <v>221</v>
      </c>
      <c r="AH612" s="300" t="s">
        <v>19</v>
      </c>
      <c r="AI612" s="301" t="s">
        <v>154</v>
      </c>
      <c r="AJ612" s="221"/>
      <c r="AK612" s="221"/>
      <c r="AL612" s="221"/>
      <c r="AM612" s="221"/>
      <c r="AN612" s="221"/>
      <c r="AO612" s="221"/>
      <c r="AP612" s="302" t="s">
        <v>19</v>
      </c>
      <c r="AQ612" s="195">
        <f>SUM(AT612,AW612,AZ612,BC612,BF612,BI612,BL612)</f>
        <v>4220.7292154340248</v>
      </c>
      <c r="AR612" s="197">
        <f>SUM(AT612,AX612,BA612,BD612,BG612,BJ612,BM612)</f>
        <v>0</v>
      </c>
      <c r="AS612" s="195">
        <f>AQ612-AR612</f>
        <v>4220.7292154340248</v>
      </c>
      <c r="AT612" s="312"/>
      <c r="AU612" s="312"/>
      <c r="AV612" s="244"/>
      <c r="AW612" s="159"/>
      <c r="AX612" s="312"/>
      <c r="AY612" s="194">
        <f>AW612-AX612</f>
        <v>0</v>
      </c>
      <c r="AZ612" s="160"/>
      <c r="BA612" s="312"/>
      <c r="BB612" s="194">
        <f>AZ612-BA612</f>
        <v>0</v>
      </c>
      <c r="BC612" s="159">
        <v>4220.7292154340248</v>
      </c>
      <c r="BD612" s="312"/>
      <c r="BE612" s="194">
        <f>BC612-BD612</f>
        <v>4220.7292154340248</v>
      </c>
      <c r="BF612" s="159"/>
      <c r="BG612" s="244"/>
      <c r="BH612" s="194">
        <f>BF612-BG612</f>
        <v>0</v>
      </c>
      <c r="BI612" s="159"/>
      <c r="BJ612" s="244"/>
      <c r="BK612" s="194">
        <f>BI612-BJ612</f>
        <v>0</v>
      </c>
      <c r="BL612" s="312"/>
      <c r="BM612" s="312"/>
      <c r="BN612" s="195">
        <f>BL612-BM612</f>
        <v>0</v>
      </c>
      <c r="BO612" s="251">
        <v>0</v>
      </c>
      <c r="BP612" s="364"/>
      <c r="BQ612" s="364"/>
      <c r="BR612" s="364"/>
      <c r="BS612" s="249" t="str">
        <f>AG612 &amp; BO612</f>
        <v>Амортизационные отчисления0</v>
      </c>
      <c r="BT612" s="364"/>
      <c r="BU612" s="364"/>
      <c r="BV612" s="364"/>
      <c r="BW612" s="364"/>
      <c r="BX612" s="364"/>
      <c r="BY612" s="249" t="str">
        <f>AG612&amp;AH612</f>
        <v>Амортизационные отчислениянет</v>
      </c>
      <c r="BZ612" s="250"/>
    </row>
    <row r="613" spans="3:78" ht="14.25">
      <c r="C613" s="97"/>
      <c r="D613" s="367"/>
      <c r="E613" s="370"/>
      <c r="F613" s="406"/>
      <c r="G613" s="376"/>
      <c r="H613" s="379"/>
      <c r="I613" s="382"/>
      <c r="J613" s="382"/>
      <c r="K613" s="385"/>
      <c r="L613" s="388"/>
      <c r="M613" s="391"/>
      <c r="N613" s="394"/>
      <c r="O613" s="397"/>
      <c r="P613" s="400"/>
      <c r="Q613" s="403"/>
      <c r="R613" s="362"/>
      <c r="S613" s="362"/>
      <c r="T613" s="362"/>
      <c r="U613" s="362"/>
      <c r="V613" s="362"/>
      <c r="W613" s="362"/>
      <c r="X613" s="362"/>
      <c r="Y613" s="362"/>
      <c r="Z613" s="362"/>
      <c r="AA613" s="362"/>
      <c r="AB613" s="362"/>
      <c r="AC613" s="362"/>
      <c r="AD613" s="362"/>
      <c r="AE613" s="322" t="s">
        <v>1240</v>
      </c>
      <c r="AF613" s="217" t="s">
        <v>118</v>
      </c>
      <c r="AG613" s="196" t="s">
        <v>223</v>
      </c>
      <c r="AH613" s="302" t="s">
        <v>19</v>
      </c>
      <c r="AI613" s="301" t="s">
        <v>154</v>
      </c>
      <c r="AJ613" s="221"/>
      <c r="AK613" s="221"/>
      <c r="AL613" s="221"/>
      <c r="AM613" s="221"/>
      <c r="AN613" s="221"/>
      <c r="AO613" s="221"/>
      <c r="AP613" s="302" t="s">
        <v>19</v>
      </c>
      <c r="AQ613" s="195">
        <f>SUM(AT613,AW613,AZ613,BC613,BF613,BI613,BL613)</f>
        <v>844.14584308680514</v>
      </c>
      <c r="AR613" s="197">
        <f>SUM(AT613,AX613,BA613,BD613,BG613,BJ613,BM613)</f>
        <v>0</v>
      </c>
      <c r="AS613" s="195">
        <f>AQ613-AR613</f>
        <v>844.14584308680514</v>
      </c>
      <c r="AT613" s="315"/>
      <c r="AU613" s="315"/>
      <c r="AV613" s="241"/>
      <c r="AW613" s="198"/>
      <c r="AX613" s="313"/>
      <c r="AY613" s="199">
        <f>AW613-AX613</f>
        <v>0</v>
      </c>
      <c r="AZ613" s="173"/>
      <c r="BA613" s="313"/>
      <c r="BB613" s="199">
        <f>AZ613-BA613</f>
        <v>0</v>
      </c>
      <c r="BC613" s="198">
        <f>5064.87505852083-BC612</f>
        <v>844.14584308680514</v>
      </c>
      <c r="BD613" s="313"/>
      <c r="BE613" s="199">
        <f>BC613-BD613</f>
        <v>844.14584308680514</v>
      </c>
      <c r="BF613" s="198"/>
      <c r="BG613" s="241"/>
      <c r="BH613" s="199">
        <f>BF613-BG613</f>
        <v>0</v>
      </c>
      <c r="BI613" s="198"/>
      <c r="BJ613" s="241"/>
      <c r="BK613" s="199">
        <f>BI613-BJ613</f>
        <v>0</v>
      </c>
      <c r="BL613" s="313"/>
      <c r="BM613" s="313"/>
      <c r="BN613" s="195">
        <f>BL613-BM613</f>
        <v>0</v>
      </c>
      <c r="BO613" s="251">
        <v>0</v>
      </c>
      <c r="BP613" s="364"/>
      <c r="BQ613" s="364"/>
      <c r="BR613" s="364"/>
      <c r="BS613" s="249" t="str">
        <f>AG613 &amp; BO613</f>
        <v>Прочие собственные средства0</v>
      </c>
      <c r="BT613" s="364"/>
      <c r="BU613" s="364"/>
      <c r="BV613" s="364"/>
      <c r="BW613" s="364"/>
      <c r="BX613" s="364"/>
      <c r="BY613" s="249" t="str">
        <f>AG613&amp;AH613</f>
        <v>Прочие собственные средстванет</v>
      </c>
      <c r="BZ613" s="250"/>
    </row>
    <row r="614" spans="3:78" ht="15" customHeight="1">
      <c r="C614" s="306"/>
      <c r="D614" s="367"/>
      <c r="E614" s="370"/>
      <c r="F614" s="406"/>
      <c r="G614" s="376"/>
      <c r="H614" s="379"/>
      <c r="I614" s="382"/>
      <c r="J614" s="382"/>
      <c r="K614" s="385"/>
      <c r="L614" s="388"/>
      <c r="M614" s="391"/>
      <c r="N614" s="395"/>
      <c r="O614" s="398"/>
      <c r="P614" s="401"/>
      <c r="Q614" s="404"/>
      <c r="R614" s="363"/>
      <c r="S614" s="363"/>
      <c r="T614" s="363"/>
      <c r="U614" s="363"/>
      <c r="V614" s="363"/>
      <c r="W614" s="363"/>
      <c r="X614" s="363"/>
      <c r="Y614" s="363"/>
      <c r="Z614" s="363"/>
      <c r="AA614" s="363"/>
      <c r="AB614" s="363"/>
      <c r="AC614" s="363"/>
      <c r="AD614" s="363"/>
      <c r="AE614" s="279" t="s">
        <v>379</v>
      </c>
      <c r="AF614" s="203"/>
      <c r="AG614" s="223" t="s">
        <v>24</v>
      </c>
      <c r="AH614" s="223"/>
      <c r="AI614" s="223"/>
      <c r="AJ614" s="223"/>
      <c r="AK614" s="223"/>
      <c r="AL614" s="223"/>
      <c r="AM614" s="223"/>
      <c r="AN614" s="223"/>
      <c r="AO614" s="223"/>
      <c r="AP614" s="168"/>
      <c r="AQ614" s="169"/>
      <c r="AR614" s="169"/>
      <c r="AS614" s="169"/>
      <c r="AT614" s="169"/>
      <c r="AU614" s="169"/>
      <c r="AV614" s="169"/>
      <c r="AW614" s="169"/>
      <c r="AX614" s="169"/>
      <c r="AY614" s="169"/>
      <c r="AZ614" s="169"/>
      <c r="BA614" s="169"/>
      <c r="BB614" s="169"/>
      <c r="BC614" s="169"/>
      <c r="BD614" s="169"/>
      <c r="BE614" s="169"/>
      <c r="BF614" s="169"/>
      <c r="BG614" s="169"/>
      <c r="BH614" s="169"/>
      <c r="BI614" s="169"/>
      <c r="BJ614" s="169"/>
      <c r="BK614" s="169"/>
      <c r="BL614" s="169"/>
      <c r="BM614" s="169"/>
      <c r="BN614" s="170"/>
      <c r="BO614" s="251"/>
      <c r="BP614" s="364"/>
      <c r="BQ614" s="364"/>
      <c r="BR614" s="364"/>
      <c r="BS614" s="250"/>
      <c r="BT614" s="364"/>
      <c r="BU614" s="364"/>
      <c r="BV614" s="364"/>
      <c r="BW614" s="364"/>
      <c r="BX614" s="364"/>
      <c r="BY614" s="250"/>
    </row>
    <row r="615" spans="3:78" ht="15" customHeight="1" thickBot="1">
      <c r="C615" s="307"/>
      <c r="D615" s="368"/>
      <c r="E615" s="371"/>
      <c r="F615" s="407"/>
      <c r="G615" s="377"/>
      <c r="H615" s="380"/>
      <c r="I615" s="383"/>
      <c r="J615" s="383"/>
      <c r="K615" s="386"/>
      <c r="L615" s="389"/>
      <c r="M615" s="392"/>
      <c r="N615" s="280" t="s">
        <v>380</v>
      </c>
      <c r="O615" s="212"/>
      <c r="P615" s="365" t="s">
        <v>154</v>
      </c>
      <c r="Q615" s="365"/>
      <c r="R615" s="171"/>
      <c r="S615" s="171"/>
      <c r="T615" s="166"/>
      <c r="U615" s="166"/>
      <c r="V615" s="166"/>
      <c r="W615" s="166"/>
      <c r="X615" s="166"/>
      <c r="Y615" s="166"/>
      <c r="Z615" s="166"/>
      <c r="AA615" s="166"/>
      <c r="AB615" s="166"/>
      <c r="AC615" s="166"/>
      <c r="AD615" s="166"/>
      <c r="AE615" s="166"/>
      <c r="AF615" s="166"/>
      <c r="AG615" s="166"/>
      <c r="AH615" s="166"/>
      <c r="AI615" s="166"/>
      <c r="AJ615" s="166"/>
      <c r="AK615" s="166"/>
      <c r="AL615" s="166"/>
      <c r="AM615" s="166"/>
      <c r="AN615" s="166"/>
      <c r="AO615" s="166"/>
      <c r="AP615" s="166"/>
      <c r="AQ615" s="166"/>
      <c r="AR615" s="166"/>
      <c r="AS615" s="166"/>
      <c r="AT615" s="166"/>
      <c r="AU615" s="166"/>
      <c r="AV615" s="166"/>
      <c r="AW615" s="166"/>
      <c r="AX615" s="166"/>
      <c r="AY615" s="166"/>
      <c r="AZ615" s="166"/>
      <c r="BA615" s="166"/>
      <c r="BB615" s="166"/>
      <c r="BC615" s="166"/>
      <c r="BD615" s="166"/>
      <c r="BE615" s="166"/>
      <c r="BF615" s="166"/>
      <c r="BG615" s="166"/>
      <c r="BH615" s="166"/>
      <c r="BI615" s="166"/>
      <c r="BJ615" s="166"/>
      <c r="BK615" s="166"/>
      <c r="BL615" s="166"/>
      <c r="BM615" s="166"/>
      <c r="BN615" s="167"/>
      <c r="BO615" s="251"/>
      <c r="BP615" s="250"/>
      <c r="BQ615" s="250"/>
      <c r="BR615" s="250"/>
      <c r="BS615" s="250"/>
      <c r="BT615" s="250"/>
      <c r="BU615" s="250"/>
      <c r="BY615" s="250"/>
    </row>
    <row r="616" spans="3:78" ht="11.25" customHeight="1">
      <c r="C616" s="97" t="s">
        <v>1240</v>
      </c>
      <c r="D616" s="366" t="s">
        <v>1393</v>
      </c>
      <c r="E616" s="369" t="s">
        <v>199</v>
      </c>
      <c r="F616" s="405" t="s">
        <v>209</v>
      </c>
      <c r="G616" s="375" t="s">
        <v>1412</v>
      </c>
      <c r="H616" s="378" t="s">
        <v>715</v>
      </c>
      <c r="I616" s="381" t="s">
        <v>715</v>
      </c>
      <c r="J616" s="381" t="s">
        <v>716</v>
      </c>
      <c r="K616" s="384">
        <v>1</v>
      </c>
      <c r="L616" s="387" t="s">
        <v>5</v>
      </c>
      <c r="M616" s="390">
        <v>0</v>
      </c>
      <c r="N616" s="163"/>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1"/>
      <c r="AL616" s="161"/>
      <c r="AM616" s="161"/>
      <c r="AN616" s="161"/>
      <c r="AO616" s="161"/>
      <c r="AP616" s="161"/>
      <c r="AQ616" s="161"/>
      <c r="AR616" s="161"/>
      <c r="AS616" s="161"/>
      <c r="AT616" s="161"/>
      <c r="AU616" s="161"/>
      <c r="AV616" s="161"/>
      <c r="AW616" s="161"/>
      <c r="AX616" s="161"/>
      <c r="AY616" s="161"/>
      <c r="AZ616" s="161"/>
      <c r="BA616" s="161"/>
      <c r="BB616" s="161"/>
      <c r="BC616" s="161"/>
      <c r="BD616" s="161"/>
      <c r="BE616" s="161"/>
      <c r="BF616" s="161"/>
      <c r="BG616" s="161"/>
      <c r="BH616" s="161"/>
      <c r="BI616" s="161"/>
      <c r="BJ616" s="161"/>
      <c r="BK616" s="161"/>
      <c r="BL616" s="161"/>
      <c r="BM616" s="161"/>
      <c r="BN616" s="162"/>
      <c r="BO616" s="251"/>
      <c r="BP616" s="250"/>
      <c r="BQ616" s="250"/>
      <c r="BR616" s="250"/>
      <c r="BS616" s="250"/>
      <c r="BT616" s="250"/>
      <c r="BU616" s="250"/>
      <c r="BY616" s="250"/>
    </row>
    <row r="617" spans="3:78" ht="11.25" customHeight="1">
      <c r="C617" s="306"/>
      <c r="D617" s="367"/>
      <c r="E617" s="370"/>
      <c r="F617" s="406"/>
      <c r="G617" s="376"/>
      <c r="H617" s="379"/>
      <c r="I617" s="382"/>
      <c r="J617" s="382"/>
      <c r="K617" s="385"/>
      <c r="L617" s="388"/>
      <c r="M617" s="391"/>
      <c r="N617" s="393"/>
      <c r="O617" s="396">
        <v>1</v>
      </c>
      <c r="P617" s="399" t="s">
        <v>1297</v>
      </c>
      <c r="Q617" s="402"/>
      <c r="R617" s="361" t="s">
        <v>154</v>
      </c>
      <c r="S617" s="361" t="s">
        <v>154</v>
      </c>
      <c r="T617" s="361" t="s">
        <v>154</v>
      </c>
      <c r="U617" s="361" t="s">
        <v>154</v>
      </c>
      <c r="V617" s="361" t="s">
        <v>154</v>
      </c>
      <c r="W617" s="361" t="s">
        <v>154</v>
      </c>
      <c r="X617" s="361" t="s">
        <v>154</v>
      </c>
      <c r="Y617" s="361" t="s">
        <v>154</v>
      </c>
      <c r="Z617" s="361" t="s">
        <v>154</v>
      </c>
      <c r="AA617" s="361" t="s">
        <v>154</v>
      </c>
      <c r="AB617" s="361" t="s">
        <v>154</v>
      </c>
      <c r="AC617" s="361" t="s">
        <v>154</v>
      </c>
      <c r="AD617" s="361" t="s">
        <v>154</v>
      </c>
      <c r="AE617" s="209"/>
      <c r="AF617" s="220">
        <v>0</v>
      </c>
      <c r="AG617" s="219" t="s">
        <v>308</v>
      </c>
      <c r="AH617" s="219"/>
      <c r="AI617" s="219"/>
      <c r="AJ617" s="219"/>
      <c r="AK617" s="219"/>
      <c r="AL617" s="219"/>
      <c r="AM617" s="219"/>
      <c r="AN617" s="219"/>
      <c r="AO617" s="219"/>
      <c r="AP617" s="164"/>
      <c r="AQ617" s="164"/>
      <c r="AR617" s="164"/>
      <c r="AS617" s="164"/>
      <c r="AT617" s="164"/>
      <c r="AU617" s="164"/>
      <c r="AV617" s="164"/>
      <c r="AW617" s="164"/>
      <c r="AX617" s="164"/>
      <c r="AY617" s="164"/>
      <c r="AZ617" s="164"/>
      <c r="BA617" s="164"/>
      <c r="BB617" s="164"/>
      <c r="BC617" s="164"/>
      <c r="BD617" s="164"/>
      <c r="BE617" s="164"/>
      <c r="BF617" s="164"/>
      <c r="BG617" s="164"/>
      <c r="BH617" s="164"/>
      <c r="BI617" s="164"/>
      <c r="BJ617" s="164"/>
      <c r="BK617" s="164"/>
      <c r="BL617" s="164"/>
      <c r="BM617" s="164"/>
      <c r="BN617" s="165"/>
      <c r="BO617" s="251"/>
      <c r="BP617" s="364" t="s">
        <v>1298</v>
      </c>
      <c r="BQ617" s="364" t="s">
        <v>1298</v>
      </c>
      <c r="BR617" s="364" t="s">
        <v>1298</v>
      </c>
      <c r="BS617" s="250"/>
      <c r="BT617" s="364" t="s">
        <v>1298</v>
      </c>
      <c r="BU617" s="364" t="s">
        <v>1298</v>
      </c>
      <c r="BV617" s="364" t="s">
        <v>1298</v>
      </c>
      <c r="BW617" s="364" t="s">
        <v>1298</v>
      </c>
      <c r="BX617" s="364" t="s">
        <v>1298</v>
      </c>
      <c r="BY617" s="250"/>
    </row>
    <row r="618" spans="3:78" ht="14.25">
      <c r="C618" s="306"/>
      <c r="D618" s="367"/>
      <c r="E618" s="370"/>
      <c r="F618" s="406"/>
      <c r="G618" s="376"/>
      <c r="H618" s="379"/>
      <c r="I618" s="382"/>
      <c r="J618" s="382"/>
      <c r="K618" s="385"/>
      <c r="L618" s="388"/>
      <c r="M618" s="391"/>
      <c r="N618" s="394"/>
      <c r="O618" s="397"/>
      <c r="P618" s="400"/>
      <c r="Q618" s="403"/>
      <c r="R618" s="362"/>
      <c r="S618" s="362"/>
      <c r="T618" s="362"/>
      <c r="U618" s="362"/>
      <c r="V618" s="362"/>
      <c r="W618" s="362"/>
      <c r="X618" s="362"/>
      <c r="Y618" s="362"/>
      <c r="Z618" s="362"/>
      <c r="AA618" s="362"/>
      <c r="AB618" s="362"/>
      <c r="AC618" s="362"/>
      <c r="AD618" s="362"/>
      <c r="AE618" s="193"/>
      <c r="AF618" s="217" t="s">
        <v>268</v>
      </c>
      <c r="AG618" s="158" t="s">
        <v>221</v>
      </c>
      <c r="AH618" s="300" t="s">
        <v>19</v>
      </c>
      <c r="AI618" s="301" t="s">
        <v>154</v>
      </c>
      <c r="AJ618" s="221"/>
      <c r="AK618" s="221"/>
      <c r="AL618" s="221"/>
      <c r="AM618" s="221"/>
      <c r="AN618" s="221"/>
      <c r="AO618" s="221"/>
      <c r="AP618" s="302" t="s">
        <v>19</v>
      </c>
      <c r="AQ618" s="195">
        <f>SUM(AT618,AW618,AZ618,BC618,BF618,BI618,BL618)</f>
        <v>1462.1839833887084</v>
      </c>
      <c r="AR618" s="197">
        <f>SUM(AT618,AX618,BA618,BD618,BG618,BJ618,BM618)</f>
        <v>0</v>
      </c>
      <c r="AS618" s="195">
        <f>AQ618-AR618</f>
        <v>1462.1839833887084</v>
      </c>
      <c r="AT618" s="312"/>
      <c r="AU618" s="312"/>
      <c r="AV618" s="244"/>
      <c r="AW618" s="159"/>
      <c r="AX618" s="312"/>
      <c r="AY618" s="194">
        <f>AW618-AX618</f>
        <v>0</v>
      </c>
      <c r="AZ618" s="160"/>
      <c r="BA618" s="312"/>
      <c r="BB618" s="194">
        <f>AZ618-BA618</f>
        <v>0</v>
      </c>
      <c r="BC618" s="159">
        <v>1462.1839833887084</v>
      </c>
      <c r="BD618" s="312"/>
      <c r="BE618" s="194">
        <f>BC618-BD618</f>
        <v>1462.1839833887084</v>
      </c>
      <c r="BF618" s="159"/>
      <c r="BG618" s="244"/>
      <c r="BH618" s="194">
        <f>BF618-BG618</f>
        <v>0</v>
      </c>
      <c r="BI618" s="159"/>
      <c r="BJ618" s="244"/>
      <c r="BK618" s="194">
        <f>BI618-BJ618</f>
        <v>0</v>
      </c>
      <c r="BL618" s="312"/>
      <c r="BM618" s="312"/>
      <c r="BN618" s="195">
        <f>BL618-BM618</f>
        <v>0</v>
      </c>
      <c r="BO618" s="251">
        <v>0</v>
      </c>
      <c r="BP618" s="364"/>
      <c r="BQ618" s="364"/>
      <c r="BR618" s="364"/>
      <c r="BS618" s="249" t="str">
        <f>AG618 &amp; BO618</f>
        <v>Амортизационные отчисления0</v>
      </c>
      <c r="BT618" s="364"/>
      <c r="BU618" s="364"/>
      <c r="BV618" s="364"/>
      <c r="BW618" s="364"/>
      <c r="BX618" s="364"/>
      <c r="BY618" s="249" t="str">
        <f>AG618&amp;AH618</f>
        <v>Амортизационные отчислениянет</v>
      </c>
      <c r="BZ618" s="250"/>
    </row>
    <row r="619" spans="3:78" ht="14.25">
      <c r="C619" s="97"/>
      <c r="D619" s="367"/>
      <c r="E619" s="370"/>
      <c r="F619" s="406"/>
      <c r="G619" s="376"/>
      <c r="H619" s="379"/>
      <c r="I619" s="382"/>
      <c r="J619" s="382"/>
      <c r="K619" s="385"/>
      <c r="L619" s="388"/>
      <c r="M619" s="391"/>
      <c r="N619" s="394"/>
      <c r="O619" s="397"/>
      <c r="P619" s="400"/>
      <c r="Q619" s="403"/>
      <c r="R619" s="362"/>
      <c r="S619" s="362"/>
      <c r="T619" s="362"/>
      <c r="U619" s="362"/>
      <c r="V619" s="362"/>
      <c r="W619" s="362"/>
      <c r="X619" s="362"/>
      <c r="Y619" s="362"/>
      <c r="Z619" s="362"/>
      <c r="AA619" s="362"/>
      <c r="AB619" s="362"/>
      <c r="AC619" s="362"/>
      <c r="AD619" s="362"/>
      <c r="AE619" s="322" t="s">
        <v>1240</v>
      </c>
      <c r="AF619" s="217" t="s">
        <v>118</v>
      </c>
      <c r="AG619" s="196" t="s">
        <v>223</v>
      </c>
      <c r="AH619" s="302" t="s">
        <v>19</v>
      </c>
      <c r="AI619" s="301" t="s">
        <v>154</v>
      </c>
      <c r="AJ619" s="221"/>
      <c r="AK619" s="221"/>
      <c r="AL619" s="221"/>
      <c r="AM619" s="221"/>
      <c r="AN619" s="221"/>
      <c r="AO619" s="221"/>
      <c r="AP619" s="302" t="s">
        <v>19</v>
      </c>
      <c r="AQ619" s="195">
        <f>SUM(AT619,AW619,AZ619,BC619,BF619,BI619,BL619)</f>
        <v>292.43679667774154</v>
      </c>
      <c r="AR619" s="197">
        <f>SUM(AT619,AX619,BA619,BD619,BG619,BJ619,BM619)</f>
        <v>0</v>
      </c>
      <c r="AS619" s="195">
        <f>AQ619-AR619</f>
        <v>292.43679667774154</v>
      </c>
      <c r="AT619" s="315"/>
      <c r="AU619" s="315"/>
      <c r="AV619" s="241"/>
      <c r="AW619" s="198"/>
      <c r="AX619" s="313"/>
      <c r="AY619" s="199">
        <f>AW619-AX619</f>
        <v>0</v>
      </c>
      <c r="AZ619" s="173"/>
      <c r="BA619" s="313"/>
      <c r="BB619" s="199">
        <f>AZ619-BA619</f>
        <v>0</v>
      </c>
      <c r="BC619" s="198">
        <f>1754.62078006645-BC618</f>
        <v>292.43679667774154</v>
      </c>
      <c r="BD619" s="313"/>
      <c r="BE619" s="199">
        <f>BC619-BD619</f>
        <v>292.43679667774154</v>
      </c>
      <c r="BF619" s="198"/>
      <c r="BG619" s="241"/>
      <c r="BH619" s="199">
        <f>BF619-BG619</f>
        <v>0</v>
      </c>
      <c r="BI619" s="198"/>
      <c r="BJ619" s="241"/>
      <c r="BK619" s="199">
        <f>BI619-BJ619</f>
        <v>0</v>
      </c>
      <c r="BL619" s="313"/>
      <c r="BM619" s="313"/>
      <c r="BN619" s="195">
        <f>BL619-BM619</f>
        <v>0</v>
      </c>
      <c r="BO619" s="251">
        <v>0</v>
      </c>
      <c r="BP619" s="364"/>
      <c r="BQ619" s="364"/>
      <c r="BR619" s="364"/>
      <c r="BS619" s="249" t="str">
        <f>AG619 &amp; BO619</f>
        <v>Прочие собственные средства0</v>
      </c>
      <c r="BT619" s="364"/>
      <c r="BU619" s="364"/>
      <c r="BV619" s="364"/>
      <c r="BW619" s="364"/>
      <c r="BX619" s="364"/>
      <c r="BY619" s="249" t="str">
        <f>AG619&amp;AH619</f>
        <v>Прочие собственные средстванет</v>
      </c>
      <c r="BZ619" s="250"/>
    </row>
    <row r="620" spans="3:78" ht="15" customHeight="1">
      <c r="C620" s="306"/>
      <c r="D620" s="367"/>
      <c r="E620" s="370"/>
      <c r="F620" s="406"/>
      <c r="G620" s="376"/>
      <c r="H620" s="379"/>
      <c r="I620" s="382"/>
      <c r="J620" s="382"/>
      <c r="K620" s="385"/>
      <c r="L620" s="388"/>
      <c r="M620" s="391"/>
      <c r="N620" s="395"/>
      <c r="O620" s="398"/>
      <c r="P620" s="401"/>
      <c r="Q620" s="404"/>
      <c r="R620" s="363"/>
      <c r="S620" s="363"/>
      <c r="T620" s="363"/>
      <c r="U620" s="363"/>
      <c r="V620" s="363"/>
      <c r="W620" s="363"/>
      <c r="X620" s="363"/>
      <c r="Y620" s="363"/>
      <c r="Z620" s="363"/>
      <c r="AA620" s="363"/>
      <c r="AB620" s="363"/>
      <c r="AC620" s="363"/>
      <c r="AD620" s="363"/>
      <c r="AE620" s="279" t="s">
        <v>379</v>
      </c>
      <c r="AF620" s="203"/>
      <c r="AG620" s="223" t="s">
        <v>24</v>
      </c>
      <c r="AH620" s="223"/>
      <c r="AI620" s="223"/>
      <c r="AJ620" s="223"/>
      <c r="AK620" s="223"/>
      <c r="AL620" s="223"/>
      <c r="AM620" s="223"/>
      <c r="AN620" s="223"/>
      <c r="AO620" s="223"/>
      <c r="AP620" s="168"/>
      <c r="AQ620" s="169"/>
      <c r="AR620" s="169"/>
      <c r="AS620" s="169"/>
      <c r="AT620" s="169"/>
      <c r="AU620" s="169"/>
      <c r="AV620" s="169"/>
      <c r="AW620" s="169"/>
      <c r="AX620" s="169"/>
      <c r="AY620" s="169"/>
      <c r="AZ620" s="169"/>
      <c r="BA620" s="169"/>
      <c r="BB620" s="169"/>
      <c r="BC620" s="169"/>
      <c r="BD620" s="169"/>
      <c r="BE620" s="169"/>
      <c r="BF620" s="169"/>
      <c r="BG620" s="169"/>
      <c r="BH620" s="169"/>
      <c r="BI620" s="169"/>
      <c r="BJ620" s="169"/>
      <c r="BK620" s="169"/>
      <c r="BL620" s="169"/>
      <c r="BM620" s="169"/>
      <c r="BN620" s="170"/>
      <c r="BO620" s="251"/>
      <c r="BP620" s="364"/>
      <c r="BQ620" s="364"/>
      <c r="BR620" s="364"/>
      <c r="BS620" s="250"/>
      <c r="BT620" s="364"/>
      <c r="BU620" s="364"/>
      <c r="BV620" s="364"/>
      <c r="BW620" s="364"/>
      <c r="BX620" s="364"/>
      <c r="BY620" s="250"/>
    </row>
    <row r="621" spans="3:78" ht="15" customHeight="1" thickBot="1">
      <c r="C621" s="307"/>
      <c r="D621" s="368"/>
      <c r="E621" s="371"/>
      <c r="F621" s="407"/>
      <c r="G621" s="377"/>
      <c r="H621" s="380"/>
      <c r="I621" s="383"/>
      <c r="J621" s="383"/>
      <c r="K621" s="386"/>
      <c r="L621" s="389"/>
      <c r="M621" s="392"/>
      <c r="N621" s="280" t="s">
        <v>380</v>
      </c>
      <c r="O621" s="212"/>
      <c r="P621" s="365" t="s">
        <v>154</v>
      </c>
      <c r="Q621" s="365"/>
      <c r="R621" s="171"/>
      <c r="S621" s="171"/>
      <c r="T621" s="166"/>
      <c r="U621" s="166"/>
      <c r="V621" s="166"/>
      <c r="W621" s="166"/>
      <c r="X621" s="166"/>
      <c r="Y621" s="166"/>
      <c r="Z621" s="166"/>
      <c r="AA621" s="166"/>
      <c r="AB621" s="166"/>
      <c r="AC621" s="166"/>
      <c r="AD621" s="166"/>
      <c r="AE621" s="166"/>
      <c r="AF621" s="166"/>
      <c r="AG621" s="166"/>
      <c r="AH621" s="166"/>
      <c r="AI621" s="166"/>
      <c r="AJ621" s="166"/>
      <c r="AK621" s="166"/>
      <c r="AL621" s="166"/>
      <c r="AM621" s="166"/>
      <c r="AN621" s="166"/>
      <c r="AO621" s="166"/>
      <c r="AP621" s="166"/>
      <c r="AQ621" s="166"/>
      <c r="AR621" s="166"/>
      <c r="AS621" s="166"/>
      <c r="AT621" s="166"/>
      <c r="AU621" s="166"/>
      <c r="AV621" s="166"/>
      <c r="AW621" s="166"/>
      <c r="AX621" s="166"/>
      <c r="AY621" s="166"/>
      <c r="AZ621" s="166"/>
      <c r="BA621" s="166"/>
      <c r="BB621" s="166"/>
      <c r="BC621" s="166"/>
      <c r="BD621" s="166"/>
      <c r="BE621" s="166"/>
      <c r="BF621" s="166"/>
      <c r="BG621" s="166"/>
      <c r="BH621" s="166"/>
      <c r="BI621" s="166"/>
      <c r="BJ621" s="166"/>
      <c r="BK621" s="166"/>
      <c r="BL621" s="166"/>
      <c r="BM621" s="166"/>
      <c r="BN621" s="167"/>
      <c r="BO621" s="251"/>
      <c r="BP621" s="250"/>
      <c r="BQ621" s="250"/>
      <c r="BR621" s="250"/>
      <c r="BS621" s="250"/>
      <c r="BT621" s="250"/>
      <c r="BU621" s="250"/>
      <c r="BY621" s="250"/>
    </row>
    <row r="622" spans="3:78" ht="11.25" customHeight="1">
      <c r="C622" s="97" t="s">
        <v>1240</v>
      </c>
      <c r="D622" s="366" t="s">
        <v>1394</v>
      </c>
      <c r="E622" s="369" t="s">
        <v>199</v>
      </c>
      <c r="F622" s="405" t="s">
        <v>209</v>
      </c>
      <c r="G622" s="375" t="s">
        <v>1413</v>
      </c>
      <c r="H622" s="378" t="s">
        <v>715</v>
      </c>
      <c r="I622" s="381" t="s">
        <v>715</v>
      </c>
      <c r="J622" s="381" t="s">
        <v>716</v>
      </c>
      <c r="K622" s="384">
        <v>1</v>
      </c>
      <c r="L622" s="387" t="s">
        <v>5</v>
      </c>
      <c r="M622" s="390">
        <v>0</v>
      </c>
      <c r="N622" s="163"/>
      <c r="O622" s="161"/>
      <c r="P622" s="161"/>
      <c r="Q622" s="161"/>
      <c r="R622" s="161"/>
      <c r="S622" s="161"/>
      <c r="T622" s="161"/>
      <c r="U622" s="161"/>
      <c r="V622" s="161"/>
      <c r="W622" s="161"/>
      <c r="X622" s="161"/>
      <c r="Y622" s="161"/>
      <c r="Z622" s="161"/>
      <c r="AA622" s="161"/>
      <c r="AB622" s="161"/>
      <c r="AC622" s="161"/>
      <c r="AD622" s="161"/>
      <c r="AE622" s="161"/>
      <c r="AF622" s="161"/>
      <c r="AG622" s="161"/>
      <c r="AH622" s="161"/>
      <c r="AI622" s="161"/>
      <c r="AJ622" s="161"/>
      <c r="AK622" s="161"/>
      <c r="AL622" s="161"/>
      <c r="AM622" s="161"/>
      <c r="AN622" s="161"/>
      <c r="AO622" s="161"/>
      <c r="AP622" s="161"/>
      <c r="AQ622" s="161"/>
      <c r="AR622" s="161"/>
      <c r="AS622" s="161"/>
      <c r="AT622" s="161"/>
      <c r="AU622" s="161"/>
      <c r="AV622" s="161"/>
      <c r="AW622" s="161"/>
      <c r="AX622" s="161"/>
      <c r="AY622" s="161"/>
      <c r="AZ622" s="161"/>
      <c r="BA622" s="161"/>
      <c r="BB622" s="161"/>
      <c r="BC622" s="161"/>
      <c r="BD622" s="161"/>
      <c r="BE622" s="161"/>
      <c r="BF622" s="161"/>
      <c r="BG622" s="161"/>
      <c r="BH622" s="161"/>
      <c r="BI622" s="161"/>
      <c r="BJ622" s="161"/>
      <c r="BK622" s="161"/>
      <c r="BL622" s="161"/>
      <c r="BM622" s="161"/>
      <c r="BN622" s="162"/>
      <c r="BO622" s="251"/>
      <c r="BP622" s="250"/>
      <c r="BQ622" s="250"/>
      <c r="BR622" s="250"/>
      <c r="BS622" s="250"/>
      <c r="BT622" s="250"/>
      <c r="BU622" s="250"/>
      <c r="BY622" s="250"/>
    </row>
    <row r="623" spans="3:78" ht="11.25" customHeight="1">
      <c r="C623" s="306"/>
      <c r="D623" s="367"/>
      <c r="E623" s="370"/>
      <c r="F623" s="406"/>
      <c r="G623" s="376"/>
      <c r="H623" s="379"/>
      <c r="I623" s="382"/>
      <c r="J623" s="382"/>
      <c r="K623" s="385"/>
      <c r="L623" s="388"/>
      <c r="M623" s="391"/>
      <c r="N623" s="393"/>
      <c r="O623" s="396">
        <v>1</v>
      </c>
      <c r="P623" s="399" t="s">
        <v>1297</v>
      </c>
      <c r="Q623" s="402"/>
      <c r="R623" s="361" t="s">
        <v>154</v>
      </c>
      <c r="S623" s="361" t="s">
        <v>154</v>
      </c>
      <c r="T623" s="361" t="s">
        <v>154</v>
      </c>
      <c r="U623" s="361" t="s">
        <v>154</v>
      </c>
      <c r="V623" s="361" t="s">
        <v>154</v>
      </c>
      <c r="W623" s="361" t="s">
        <v>154</v>
      </c>
      <c r="X623" s="361" t="s">
        <v>154</v>
      </c>
      <c r="Y623" s="361" t="s">
        <v>154</v>
      </c>
      <c r="Z623" s="361" t="s">
        <v>154</v>
      </c>
      <c r="AA623" s="361" t="s">
        <v>154</v>
      </c>
      <c r="AB623" s="361" t="s">
        <v>154</v>
      </c>
      <c r="AC623" s="361" t="s">
        <v>154</v>
      </c>
      <c r="AD623" s="361" t="s">
        <v>154</v>
      </c>
      <c r="AE623" s="209"/>
      <c r="AF623" s="220">
        <v>0</v>
      </c>
      <c r="AG623" s="219" t="s">
        <v>308</v>
      </c>
      <c r="AH623" s="219"/>
      <c r="AI623" s="219"/>
      <c r="AJ623" s="219"/>
      <c r="AK623" s="219"/>
      <c r="AL623" s="219"/>
      <c r="AM623" s="219"/>
      <c r="AN623" s="219"/>
      <c r="AO623" s="219"/>
      <c r="AP623" s="164"/>
      <c r="AQ623" s="164"/>
      <c r="AR623" s="164"/>
      <c r="AS623" s="164"/>
      <c r="AT623" s="164"/>
      <c r="AU623" s="164"/>
      <c r="AV623" s="164"/>
      <c r="AW623" s="164"/>
      <c r="AX623" s="164"/>
      <c r="AY623" s="164"/>
      <c r="AZ623" s="164"/>
      <c r="BA623" s="164"/>
      <c r="BB623" s="164"/>
      <c r="BC623" s="164"/>
      <c r="BD623" s="164"/>
      <c r="BE623" s="164"/>
      <c r="BF623" s="164"/>
      <c r="BG623" s="164"/>
      <c r="BH623" s="164"/>
      <c r="BI623" s="164"/>
      <c r="BJ623" s="164"/>
      <c r="BK623" s="164"/>
      <c r="BL623" s="164"/>
      <c r="BM623" s="164"/>
      <c r="BN623" s="165"/>
      <c r="BO623" s="251"/>
      <c r="BP623" s="364" t="s">
        <v>1298</v>
      </c>
      <c r="BQ623" s="364" t="s">
        <v>1298</v>
      </c>
      <c r="BR623" s="364" t="s">
        <v>1298</v>
      </c>
      <c r="BS623" s="250"/>
      <c r="BT623" s="364" t="s">
        <v>1298</v>
      </c>
      <c r="BU623" s="364" t="s">
        <v>1298</v>
      </c>
      <c r="BV623" s="364" t="s">
        <v>1298</v>
      </c>
      <c r="BW623" s="364" t="s">
        <v>1298</v>
      </c>
      <c r="BX623" s="364" t="s">
        <v>1298</v>
      </c>
      <c r="BY623" s="250"/>
    </row>
    <row r="624" spans="3:78" ht="14.25">
      <c r="C624" s="306"/>
      <c r="D624" s="367"/>
      <c r="E624" s="370"/>
      <c r="F624" s="406"/>
      <c r="G624" s="376"/>
      <c r="H624" s="379"/>
      <c r="I624" s="382"/>
      <c r="J624" s="382"/>
      <c r="K624" s="385"/>
      <c r="L624" s="388"/>
      <c r="M624" s="391"/>
      <c r="N624" s="394"/>
      <c r="O624" s="397"/>
      <c r="P624" s="400"/>
      <c r="Q624" s="403"/>
      <c r="R624" s="362"/>
      <c r="S624" s="362"/>
      <c r="T624" s="362"/>
      <c r="U624" s="362"/>
      <c r="V624" s="362"/>
      <c r="W624" s="362"/>
      <c r="X624" s="362"/>
      <c r="Y624" s="362"/>
      <c r="Z624" s="362"/>
      <c r="AA624" s="362"/>
      <c r="AB624" s="362"/>
      <c r="AC624" s="362"/>
      <c r="AD624" s="362"/>
      <c r="AE624" s="193"/>
      <c r="AF624" s="217" t="s">
        <v>268</v>
      </c>
      <c r="AG624" s="158" t="s">
        <v>221</v>
      </c>
      <c r="AH624" s="300" t="s">
        <v>19</v>
      </c>
      <c r="AI624" s="301" t="s">
        <v>154</v>
      </c>
      <c r="AJ624" s="221"/>
      <c r="AK624" s="221"/>
      <c r="AL624" s="221"/>
      <c r="AM624" s="221"/>
      <c r="AN624" s="221"/>
      <c r="AO624" s="221"/>
      <c r="AP624" s="302" t="s">
        <v>19</v>
      </c>
      <c r="AQ624" s="195">
        <f>SUM(AT624,AW624,AZ624,BC624,BF624,BI624,BL624)</f>
        <v>2378.1488709479586</v>
      </c>
      <c r="AR624" s="197">
        <f>SUM(AT624,AX624,BA624,BD624,BG624,BJ624,BM624)</f>
        <v>0</v>
      </c>
      <c r="AS624" s="195">
        <f>AQ624-AR624</f>
        <v>2378.1488709479586</v>
      </c>
      <c r="AT624" s="312"/>
      <c r="AU624" s="312"/>
      <c r="AV624" s="244"/>
      <c r="AW624" s="159"/>
      <c r="AX624" s="312"/>
      <c r="AY624" s="194">
        <f>AW624-AX624</f>
        <v>0</v>
      </c>
      <c r="AZ624" s="160"/>
      <c r="BA624" s="312"/>
      <c r="BB624" s="194">
        <f>AZ624-BA624</f>
        <v>0</v>
      </c>
      <c r="BC624" s="159">
        <v>2378.1488709479586</v>
      </c>
      <c r="BD624" s="312"/>
      <c r="BE624" s="194">
        <f>BC624-BD624</f>
        <v>2378.1488709479586</v>
      </c>
      <c r="BF624" s="159"/>
      <c r="BG624" s="244"/>
      <c r="BH624" s="194">
        <f>BF624-BG624</f>
        <v>0</v>
      </c>
      <c r="BI624" s="159"/>
      <c r="BJ624" s="244"/>
      <c r="BK624" s="194">
        <f>BI624-BJ624</f>
        <v>0</v>
      </c>
      <c r="BL624" s="312"/>
      <c r="BM624" s="312"/>
      <c r="BN624" s="195">
        <f>BL624-BM624</f>
        <v>0</v>
      </c>
      <c r="BO624" s="251">
        <v>0</v>
      </c>
      <c r="BP624" s="364"/>
      <c r="BQ624" s="364"/>
      <c r="BR624" s="364"/>
      <c r="BS624" s="249" t="str">
        <f>AG624 &amp; BO624</f>
        <v>Амортизационные отчисления0</v>
      </c>
      <c r="BT624" s="364"/>
      <c r="BU624" s="364"/>
      <c r="BV624" s="364"/>
      <c r="BW624" s="364"/>
      <c r="BX624" s="364"/>
      <c r="BY624" s="249" t="str">
        <f>AG624&amp;AH624</f>
        <v>Амортизационные отчислениянет</v>
      </c>
      <c r="BZ624" s="250"/>
    </row>
    <row r="625" spans="3:78" ht="14.25">
      <c r="C625" s="97"/>
      <c r="D625" s="367"/>
      <c r="E625" s="370"/>
      <c r="F625" s="406"/>
      <c r="G625" s="376"/>
      <c r="H625" s="379"/>
      <c r="I625" s="382"/>
      <c r="J625" s="382"/>
      <c r="K625" s="385"/>
      <c r="L625" s="388"/>
      <c r="M625" s="391"/>
      <c r="N625" s="394"/>
      <c r="O625" s="397"/>
      <c r="P625" s="400"/>
      <c r="Q625" s="403"/>
      <c r="R625" s="362"/>
      <c r="S625" s="362"/>
      <c r="T625" s="362"/>
      <c r="U625" s="362"/>
      <c r="V625" s="362"/>
      <c r="W625" s="362"/>
      <c r="X625" s="362"/>
      <c r="Y625" s="362"/>
      <c r="Z625" s="362"/>
      <c r="AA625" s="362"/>
      <c r="AB625" s="362"/>
      <c r="AC625" s="362"/>
      <c r="AD625" s="362"/>
      <c r="AE625" s="322" t="s">
        <v>1240</v>
      </c>
      <c r="AF625" s="217" t="s">
        <v>118</v>
      </c>
      <c r="AG625" s="196" t="s">
        <v>223</v>
      </c>
      <c r="AH625" s="302" t="s">
        <v>19</v>
      </c>
      <c r="AI625" s="301" t="s">
        <v>154</v>
      </c>
      <c r="AJ625" s="221"/>
      <c r="AK625" s="221"/>
      <c r="AL625" s="221"/>
      <c r="AM625" s="221"/>
      <c r="AN625" s="221"/>
      <c r="AO625" s="221"/>
      <c r="AP625" s="302" t="s">
        <v>19</v>
      </c>
      <c r="AQ625" s="195">
        <f>SUM(AT625,AW625,AZ625,BC625,BF625,BI625,BL625)</f>
        <v>475.62977418959144</v>
      </c>
      <c r="AR625" s="197">
        <f>SUM(AT625,AX625,BA625,BD625,BG625,BJ625,BM625)</f>
        <v>0</v>
      </c>
      <c r="AS625" s="195">
        <f>AQ625-AR625</f>
        <v>475.62977418959144</v>
      </c>
      <c r="AT625" s="315"/>
      <c r="AU625" s="315"/>
      <c r="AV625" s="241"/>
      <c r="AW625" s="198"/>
      <c r="AX625" s="313"/>
      <c r="AY625" s="199">
        <f>AW625-AX625</f>
        <v>0</v>
      </c>
      <c r="AZ625" s="173"/>
      <c r="BA625" s="313"/>
      <c r="BB625" s="199">
        <f>AZ625-BA625</f>
        <v>0</v>
      </c>
      <c r="BC625" s="198">
        <f>2853.77864513755-BC624</f>
        <v>475.62977418959144</v>
      </c>
      <c r="BD625" s="313"/>
      <c r="BE625" s="199">
        <f>BC625-BD625</f>
        <v>475.62977418959144</v>
      </c>
      <c r="BF625" s="198"/>
      <c r="BG625" s="241"/>
      <c r="BH625" s="199">
        <f>BF625-BG625</f>
        <v>0</v>
      </c>
      <c r="BI625" s="198"/>
      <c r="BJ625" s="241"/>
      <c r="BK625" s="199">
        <f>BI625-BJ625</f>
        <v>0</v>
      </c>
      <c r="BL625" s="313"/>
      <c r="BM625" s="313"/>
      <c r="BN625" s="195">
        <f>BL625-BM625</f>
        <v>0</v>
      </c>
      <c r="BO625" s="251">
        <v>0</v>
      </c>
      <c r="BP625" s="364"/>
      <c r="BQ625" s="364"/>
      <c r="BR625" s="364"/>
      <c r="BS625" s="249" t="str">
        <f>AG625 &amp; BO625</f>
        <v>Прочие собственные средства0</v>
      </c>
      <c r="BT625" s="364"/>
      <c r="BU625" s="364"/>
      <c r="BV625" s="364"/>
      <c r="BW625" s="364"/>
      <c r="BX625" s="364"/>
      <c r="BY625" s="249" t="str">
        <f>AG625&amp;AH625</f>
        <v>Прочие собственные средстванет</v>
      </c>
      <c r="BZ625" s="250"/>
    </row>
    <row r="626" spans="3:78" ht="15" customHeight="1">
      <c r="C626" s="306"/>
      <c r="D626" s="367"/>
      <c r="E626" s="370"/>
      <c r="F626" s="406"/>
      <c r="G626" s="376"/>
      <c r="H626" s="379"/>
      <c r="I626" s="382"/>
      <c r="J626" s="382"/>
      <c r="K626" s="385"/>
      <c r="L626" s="388"/>
      <c r="M626" s="391"/>
      <c r="N626" s="395"/>
      <c r="O626" s="398"/>
      <c r="P626" s="401"/>
      <c r="Q626" s="404"/>
      <c r="R626" s="363"/>
      <c r="S626" s="363"/>
      <c r="T626" s="363"/>
      <c r="U626" s="363"/>
      <c r="V626" s="363"/>
      <c r="W626" s="363"/>
      <c r="X626" s="363"/>
      <c r="Y626" s="363"/>
      <c r="Z626" s="363"/>
      <c r="AA626" s="363"/>
      <c r="AB626" s="363"/>
      <c r="AC626" s="363"/>
      <c r="AD626" s="363"/>
      <c r="AE626" s="279" t="s">
        <v>379</v>
      </c>
      <c r="AF626" s="203"/>
      <c r="AG626" s="223" t="s">
        <v>24</v>
      </c>
      <c r="AH626" s="223"/>
      <c r="AI626" s="223"/>
      <c r="AJ626" s="223"/>
      <c r="AK626" s="223"/>
      <c r="AL626" s="223"/>
      <c r="AM626" s="223"/>
      <c r="AN626" s="223"/>
      <c r="AO626" s="223"/>
      <c r="AP626" s="168"/>
      <c r="AQ626" s="169"/>
      <c r="AR626" s="169"/>
      <c r="AS626" s="169"/>
      <c r="AT626" s="169"/>
      <c r="AU626" s="169"/>
      <c r="AV626" s="169"/>
      <c r="AW626" s="169"/>
      <c r="AX626" s="169"/>
      <c r="AY626" s="169"/>
      <c r="AZ626" s="169"/>
      <c r="BA626" s="169"/>
      <c r="BB626" s="169"/>
      <c r="BC626" s="169"/>
      <c r="BD626" s="169"/>
      <c r="BE626" s="169"/>
      <c r="BF626" s="169"/>
      <c r="BG626" s="169"/>
      <c r="BH626" s="169"/>
      <c r="BI626" s="169"/>
      <c r="BJ626" s="169"/>
      <c r="BK626" s="169"/>
      <c r="BL626" s="169"/>
      <c r="BM626" s="169"/>
      <c r="BN626" s="170"/>
      <c r="BO626" s="251"/>
      <c r="BP626" s="364"/>
      <c r="BQ626" s="364"/>
      <c r="BR626" s="364"/>
      <c r="BS626" s="250"/>
      <c r="BT626" s="364"/>
      <c r="BU626" s="364"/>
      <c r="BV626" s="364"/>
      <c r="BW626" s="364"/>
      <c r="BX626" s="364"/>
      <c r="BY626" s="250"/>
    </row>
    <row r="627" spans="3:78" ht="15" customHeight="1" thickBot="1">
      <c r="C627" s="307"/>
      <c r="D627" s="368"/>
      <c r="E627" s="371"/>
      <c r="F627" s="407"/>
      <c r="G627" s="377"/>
      <c r="H627" s="380"/>
      <c r="I627" s="383"/>
      <c r="J627" s="383"/>
      <c r="K627" s="386"/>
      <c r="L627" s="389"/>
      <c r="M627" s="392"/>
      <c r="N627" s="280" t="s">
        <v>380</v>
      </c>
      <c r="O627" s="212"/>
      <c r="P627" s="365" t="s">
        <v>154</v>
      </c>
      <c r="Q627" s="365"/>
      <c r="R627" s="171"/>
      <c r="S627" s="171"/>
      <c r="T627" s="166"/>
      <c r="U627" s="166"/>
      <c r="V627" s="166"/>
      <c r="W627" s="166"/>
      <c r="X627" s="166"/>
      <c r="Y627" s="166"/>
      <c r="Z627" s="166"/>
      <c r="AA627" s="166"/>
      <c r="AB627" s="166"/>
      <c r="AC627" s="166"/>
      <c r="AD627" s="166"/>
      <c r="AE627" s="166"/>
      <c r="AF627" s="166"/>
      <c r="AG627" s="166"/>
      <c r="AH627" s="166"/>
      <c r="AI627" s="166"/>
      <c r="AJ627" s="166"/>
      <c r="AK627" s="166"/>
      <c r="AL627" s="166"/>
      <c r="AM627" s="166"/>
      <c r="AN627" s="166"/>
      <c r="AO627" s="166"/>
      <c r="AP627" s="166"/>
      <c r="AQ627" s="166"/>
      <c r="AR627" s="166"/>
      <c r="AS627" s="166"/>
      <c r="AT627" s="166"/>
      <c r="AU627" s="166"/>
      <c r="AV627" s="166"/>
      <c r="AW627" s="166"/>
      <c r="AX627" s="166"/>
      <c r="AY627" s="166"/>
      <c r="AZ627" s="166"/>
      <c r="BA627" s="166"/>
      <c r="BB627" s="166"/>
      <c r="BC627" s="166"/>
      <c r="BD627" s="166"/>
      <c r="BE627" s="166"/>
      <c r="BF627" s="166"/>
      <c r="BG627" s="166"/>
      <c r="BH627" s="166"/>
      <c r="BI627" s="166"/>
      <c r="BJ627" s="166"/>
      <c r="BK627" s="166"/>
      <c r="BL627" s="166"/>
      <c r="BM627" s="166"/>
      <c r="BN627" s="167"/>
      <c r="BO627" s="251"/>
      <c r="BP627" s="250"/>
      <c r="BQ627" s="250"/>
      <c r="BR627" s="250"/>
      <c r="BS627" s="250"/>
      <c r="BT627" s="250"/>
      <c r="BU627" s="250"/>
      <c r="BY627" s="250"/>
    </row>
    <row r="628" spans="3:78" ht="11.25" customHeight="1">
      <c r="C628" s="97" t="s">
        <v>1240</v>
      </c>
      <c r="D628" s="366" t="s">
        <v>1395</v>
      </c>
      <c r="E628" s="369" t="s">
        <v>199</v>
      </c>
      <c r="F628" s="405" t="s">
        <v>209</v>
      </c>
      <c r="G628" s="375" t="s">
        <v>1414</v>
      </c>
      <c r="H628" s="378" t="s">
        <v>715</v>
      </c>
      <c r="I628" s="381" t="s">
        <v>715</v>
      </c>
      <c r="J628" s="381" t="s">
        <v>716</v>
      </c>
      <c r="K628" s="384">
        <v>1</v>
      </c>
      <c r="L628" s="387" t="s">
        <v>5</v>
      </c>
      <c r="M628" s="390">
        <v>0</v>
      </c>
      <c r="N628" s="163"/>
      <c r="O628" s="161"/>
      <c r="P628" s="161"/>
      <c r="Q628" s="161"/>
      <c r="R628" s="161"/>
      <c r="S628" s="161"/>
      <c r="T628" s="161"/>
      <c r="U628" s="161"/>
      <c r="V628" s="161"/>
      <c r="W628" s="161"/>
      <c r="X628" s="161"/>
      <c r="Y628" s="161"/>
      <c r="Z628" s="161"/>
      <c r="AA628" s="161"/>
      <c r="AB628" s="161"/>
      <c r="AC628" s="161"/>
      <c r="AD628" s="161"/>
      <c r="AE628" s="161"/>
      <c r="AF628" s="161"/>
      <c r="AG628" s="161"/>
      <c r="AH628" s="161"/>
      <c r="AI628" s="161"/>
      <c r="AJ628" s="161"/>
      <c r="AK628" s="161"/>
      <c r="AL628" s="161"/>
      <c r="AM628" s="161"/>
      <c r="AN628" s="161"/>
      <c r="AO628" s="161"/>
      <c r="AP628" s="161"/>
      <c r="AQ628" s="161"/>
      <c r="AR628" s="161"/>
      <c r="AS628" s="161"/>
      <c r="AT628" s="161"/>
      <c r="AU628" s="161"/>
      <c r="AV628" s="161"/>
      <c r="AW628" s="161"/>
      <c r="AX628" s="161"/>
      <c r="AY628" s="161"/>
      <c r="AZ628" s="161"/>
      <c r="BA628" s="161"/>
      <c r="BB628" s="161"/>
      <c r="BC628" s="161"/>
      <c r="BD628" s="161"/>
      <c r="BE628" s="161"/>
      <c r="BF628" s="161"/>
      <c r="BG628" s="161"/>
      <c r="BH628" s="161"/>
      <c r="BI628" s="161"/>
      <c r="BJ628" s="161"/>
      <c r="BK628" s="161"/>
      <c r="BL628" s="161"/>
      <c r="BM628" s="161"/>
      <c r="BN628" s="162"/>
      <c r="BO628" s="251"/>
      <c r="BP628" s="250"/>
      <c r="BQ628" s="250"/>
      <c r="BR628" s="250"/>
      <c r="BS628" s="250"/>
      <c r="BT628" s="250"/>
      <c r="BU628" s="250"/>
      <c r="BY628" s="250"/>
    </row>
    <row r="629" spans="3:78" ht="11.25" customHeight="1">
      <c r="C629" s="306"/>
      <c r="D629" s="367"/>
      <c r="E629" s="370"/>
      <c r="F629" s="406"/>
      <c r="G629" s="376"/>
      <c r="H629" s="379"/>
      <c r="I629" s="382"/>
      <c r="J629" s="382"/>
      <c r="K629" s="385"/>
      <c r="L629" s="388"/>
      <c r="M629" s="391"/>
      <c r="N629" s="393"/>
      <c r="O629" s="396">
        <v>1</v>
      </c>
      <c r="P629" s="399" t="s">
        <v>1297</v>
      </c>
      <c r="Q629" s="402"/>
      <c r="R629" s="361" t="s">
        <v>154</v>
      </c>
      <c r="S629" s="361" t="s">
        <v>154</v>
      </c>
      <c r="T629" s="361" t="s">
        <v>154</v>
      </c>
      <c r="U629" s="361" t="s">
        <v>154</v>
      </c>
      <c r="V629" s="361" t="s">
        <v>154</v>
      </c>
      <c r="W629" s="361" t="s">
        <v>154</v>
      </c>
      <c r="X629" s="361" t="s">
        <v>154</v>
      </c>
      <c r="Y629" s="361" t="s">
        <v>154</v>
      </c>
      <c r="Z629" s="361" t="s">
        <v>154</v>
      </c>
      <c r="AA629" s="361" t="s">
        <v>154</v>
      </c>
      <c r="AB629" s="361" t="s">
        <v>154</v>
      </c>
      <c r="AC629" s="361" t="s">
        <v>154</v>
      </c>
      <c r="AD629" s="361" t="s">
        <v>154</v>
      </c>
      <c r="AE629" s="209"/>
      <c r="AF629" s="220">
        <v>0</v>
      </c>
      <c r="AG629" s="219" t="s">
        <v>308</v>
      </c>
      <c r="AH629" s="219"/>
      <c r="AI629" s="219"/>
      <c r="AJ629" s="219"/>
      <c r="AK629" s="219"/>
      <c r="AL629" s="219"/>
      <c r="AM629" s="219"/>
      <c r="AN629" s="219"/>
      <c r="AO629" s="219"/>
      <c r="AP629" s="164"/>
      <c r="AQ629" s="164"/>
      <c r="AR629" s="164"/>
      <c r="AS629" s="164"/>
      <c r="AT629" s="164"/>
      <c r="AU629" s="164"/>
      <c r="AV629" s="164"/>
      <c r="AW629" s="164"/>
      <c r="AX629" s="164"/>
      <c r="AY629" s="164"/>
      <c r="AZ629" s="164"/>
      <c r="BA629" s="164"/>
      <c r="BB629" s="164"/>
      <c r="BC629" s="164"/>
      <c r="BD629" s="164"/>
      <c r="BE629" s="164"/>
      <c r="BF629" s="164"/>
      <c r="BG629" s="164"/>
      <c r="BH629" s="164"/>
      <c r="BI629" s="164"/>
      <c r="BJ629" s="164"/>
      <c r="BK629" s="164"/>
      <c r="BL629" s="164"/>
      <c r="BM629" s="164"/>
      <c r="BN629" s="165"/>
      <c r="BO629" s="251"/>
      <c r="BP629" s="364" t="s">
        <v>1298</v>
      </c>
      <c r="BQ629" s="364" t="s">
        <v>1298</v>
      </c>
      <c r="BR629" s="364" t="s">
        <v>1298</v>
      </c>
      <c r="BS629" s="250"/>
      <c r="BT629" s="364" t="s">
        <v>1298</v>
      </c>
      <c r="BU629" s="364" t="s">
        <v>1298</v>
      </c>
      <c r="BV629" s="364" t="s">
        <v>1298</v>
      </c>
      <c r="BW629" s="364" t="s">
        <v>1298</v>
      </c>
      <c r="BX629" s="364" t="s">
        <v>1298</v>
      </c>
      <c r="BY629" s="250"/>
    </row>
    <row r="630" spans="3:78" ht="14.25">
      <c r="C630" s="306"/>
      <c r="D630" s="367"/>
      <c r="E630" s="370"/>
      <c r="F630" s="406"/>
      <c r="G630" s="376"/>
      <c r="H630" s="379"/>
      <c r="I630" s="382"/>
      <c r="J630" s="382"/>
      <c r="K630" s="385"/>
      <c r="L630" s="388"/>
      <c r="M630" s="391"/>
      <c r="N630" s="394"/>
      <c r="O630" s="397"/>
      <c r="P630" s="400"/>
      <c r="Q630" s="403"/>
      <c r="R630" s="362"/>
      <c r="S630" s="362"/>
      <c r="T630" s="362"/>
      <c r="U630" s="362"/>
      <c r="V630" s="362"/>
      <c r="W630" s="362"/>
      <c r="X630" s="362"/>
      <c r="Y630" s="362"/>
      <c r="Z630" s="362"/>
      <c r="AA630" s="362"/>
      <c r="AB630" s="362"/>
      <c r="AC630" s="362"/>
      <c r="AD630" s="362"/>
      <c r="AE630" s="193"/>
      <c r="AF630" s="217" t="s">
        <v>268</v>
      </c>
      <c r="AG630" s="158" t="s">
        <v>221</v>
      </c>
      <c r="AH630" s="300" t="s">
        <v>19</v>
      </c>
      <c r="AI630" s="301" t="s">
        <v>154</v>
      </c>
      <c r="AJ630" s="221"/>
      <c r="AK630" s="221"/>
      <c r="AL630" s="221"/>
      <c r="AM630" s="221"/>
      <c r="AN630" s="221"/>
      <c r="AO630" s="221"/>
      <c r="AP630" s="302" t="s">
        <v>19</v>
      </c>
      <c r="AQ630" s="195">
        <f>SUM(AT630,AW630,AZ630,BC630,BF630,BI630,BL630)</f>
        <v>1270.8609225075834</v>
      </c>
      <c r="AR630" s="197">
        <f>SUM(AT630,AX630,BA630,BD630,BG630,BJ630,BM630)</f>
        <v>0</v>
      </c>
      <c r="AS630" s="195">
        <f>AQ630-AR630</f>
        <v>1270.8609225075834</v>
      </c>
      <c r="AT630" s="312"/>
      <c r="AU630" s="312"/>
      <c r="AV630" s="244"/>
      <c r="AW630" s="159"/>
      <c r="AX630" s="312"/>
      <c r="AY630" s="194">
        <f>AW630-AX630</f>
        <v>0</v>
      </c>
      <c r="AZ630" s="160"/>
      <c r="BA630" s="312"/>
      <c r="BB630" s="194">
        <f>AZ630-BA630</f>
        <v>0</v>
      </c>
      <c r="BC630" s="159">
        <v>1270.8609225075834</v>
      </c>
      <c r="BD630" s="312"/>
      <c r="BE630" s="194">
        <f>BC630-BD630</f>
        <v>1270.8609225075834</v>
      </c>
      <c r="BF630" s="159"/>
      <c r="BG630" s="244"/>
      <c r="BH630" s="194">
        <f>BF630-BG630</f>
        <v>0</v>
      </c>
      <c r="BI630" s="159"/>
      <c r="BJ630" s="244"/>
      <c r="BK630" s="194">
        <f>BI630-BJ630</f>
        <v>0</v>
      </c>
      <c r="BL630" s="312"/>
      <c r="BM630" s="312"/>
      <c r="BN630" s="195">
        <f>BL630-BM630</f>
        <v>0</v>
      </c>
      <c r="BO630" s="251">
        <v>0</v>
      </c>
      <c r="BP630" s="364"/>
      <c r="BQ630" s="364"/>
      <c r="BR630" s="364"/>
      <c r="BS630" s="249" t="str">
        <f>AG630 &amp; BO630</f>
        <v>Амортизационные отчисления0</v>
      </c>
      <c r="BT630" s="364"/>
      <c r="BU630" s="364"/>
      <c r="BV630" s="364"/>
      <c r="BW630" s="364"/>
      <c r="BX630" s="364"/>
      <c r="BY630" s="249" t="str">
        <f>AG630&amp;AH630</f>
        <v>Амортизационные отчислениянет</v>
      </c>
      <c r="BZ630" s="250"/>
    </row>
    <row r="631" spans="3:78" ht="14.25">
      <c r="C631" s="97"/>
      <c r="D631" s="367"/>
      <c r="E631" s="370"/>
      <c r="F631" s="406"/>
      <c r="G631" s="376"/>
      <c r="H631" s="379"/>
      <c r="I631" s="382"/>
      <c r="J631" s="382"/>
      <c r="K631" s="385"/>
      <c r="L631" s="388"/>
      <c r="M631" s="391"/>
      <c r="N631" s="394"/>
      <c r="O631" s="397"/>
      <c r="P631" s="400"/>
      <c r="Q631" s="403"/>
      <c r="R631" s="362"/>
      <c r="S631" s="362"/>
      <c r="T631" s="362"/>
      <c r="U631" s="362"/>
      <c r="V631" s="362"/>
      <c r="W631" s="362"/>
      <c r="X631" s="362"/>
      <c r="Y631" s="362"/>
      <c r="Z631" s="362"/>
      <c r="AA631" s="362"/>
      <c r="AB631" s="362"/>
      <c r="AC631" s="362"/>
      <c r="AD631" s="362"/>
      <c r="AE631" s="322" t="s">
        <v>1240</v>
      </c>
      <c r="AF631" s="217" t="s">
        <v>118</v>
      </c>
      <c r="AG631" s="196" t="s">
        <v>223</v>
      </c>
      <c r="AH631" s="302" t="s">
        <v>19</v>
      </c>
      <c r="AI631" s="301" t="s">
        <v>154</v>
      </c>
      <c r="AJ631" s="221"/>
      <c r="AK631" s="221"/>
      <c r="AL631" s="221"/>
      <c r="AM631" s="221"/>
      <c r="AN631" s="221"/>
      <c r="AO631" s="221"/>
      <c r="AP631" s="302" t="s">
        <v>19</v>
      </c>
      <c r="AQ631" s="195">
        <f>SUM(AT631,AW631,AZ631,BC631,BF631,BI631,BL631)</f>
        <v>254.17218450151654</v>
      </c>
      <c r="AR631" s="197">
        <f>SUM(AT631,AX631,BA631,BD631,BG631,BJ631,BM631)</f>
        <v>0</v>
      </c>
      <c r="AS631" s="195">
        <f>AQ631-AR631</f>
        <v>254.17218450151654</v>
      </c>
      <c r="AT631" s="315"/>
      <c r="AU631" s="315"/>
      <c r="AV631" s="241"/>
      <c r="AW631" s="198"/>
      <c r="AX631" s="313"/>
      <c r="AY631" s="199">
        <f>AW631-AX631</f>
        <v>0</v>
      </c>
      <c r="AZ631" s="173"/>
      <c r="BA631" s="313"/>
      <c r="BB631" s="199">
        <f>AZ631-BA631</f>
        <v>0</v>
      </c>
      <c r="BC631" s="198">
        <f>1525.0331070091-BC630</f>
        <v>254.17218450151654</v>
      </c>
      <c r="BD631" s="313"/>
      <c r="BE631" s="199">
        <f>BC631-BD631</f>
        <v>254.17218450151654</v>
      </c>
      <c r="BF631" s="198"/>
      <c r="BG631" s="241"/>
      <c r="BH631" s="199">
        <f>BF631-BG631</f>
        <v>0</v>
      </c>
      <c r="BI631" s="198"/>
      <c r="BJ631" s="241"/>
      <c r="BK631" s="199">
        <f>BI631-BJ631</f>
        <v>0</v>
      </c>
      <c r="BL631" s="313"/>
      <c r="BM631" s="313"/>
      <c r="BN631" s="195">
        <f>BL631-BM631</f>
        <v>0</v>
      </c>
      <c r="BO631" s="251">
        <v>0</v>
      </c>
      <c r="BP631" s="364"/>
      <c r="BQ631" s="364"/>
      <c r="BR631" s="364"/>
      <c r="BS631" s="249" t="str">
        <f>AG631 &amp; BO631</f>
        <v>Прочие собственные средства0</v>
      </c>
      <c r="BT631" s="364"/>
      <c r="BU631" s="364"/>
      <c r="BV631" s="364"/>
      <c r="BW631" s="364"/>
      <c r="BX631" s="364"/>
      <c r="BY631" s="249" t="str">
        <f>AG631&amp;AH631</f>
        <v>Прочие собственные средстванет</v>
      </c>
      <c r="BZ631" s="250"/>
    </row>
    <row r="632" spans="3:78" ht="15" customHeight="1">
      <c r="C632" s="306"/>
      <c r="D632" s="367"/>
      <c r="E632" s="370"/>
      <c r="F632" s="406"/>
      <c r="G632" s="376"/>
      <c r="H632" s="379"/>
      <c r="I632" s="382"/>
      <c r="J632" s="382"/>
      <c r="K632" s="385"/>
      <c r="L632" s="388"/>
      <c r="M632" s="391"/>
      <c r="N632" s="395"/>
      <c r="O632" s="398"/>
      <c r="P632" s="401"/>
      <c r="Q632" s="404"/>
      <c r="R632" s="363"/>
      <c r="S632" s="363"/>
      <c r="T632" s="363"/>
      <c r="U632" s="363"/>
      <c r="V632" s="363"/>
      <c r="W632" s="363"/>
      <c r="X632" s="363"/>
      <c r="Y632" s="363"/>
      <c r="Z632" s="363"/>
      <c r="AA632" s="363"/>
      <c r="AB632" s="363"/>
      <c r="AC632" s="363"/>
      <c r="AD632" s="363"/>
      <c r="AE632" s="279" t="s">
        <v>379</v>
      </c>
      <c r="AF632" s="203"/>
      <c r="AG632" s="223" t="s">
        <v>24</v>
      </c>
      <c r="AH632" s="223"/>
      <c r="AI632" s="223"/>
      <c r="AJ632" s="223"/>
      <c r="AK632" s="223"/>
      <c r="AL632" s="223"/>
      <c r="AM632" s="223"/>
      <c r="AN632" s="223"/>
      <c r="AO632" s="223"/>
      <c r="AP632" s="168"/>
      <c r="AQ632" s="169"/>
      <c r="AR632" s="169"/>
      <c r="AS632" s="169"/>
      <c r="AT632" s="169"/>
      <c r="AU632" s="169"/>
      <c r="AV632" s="169"/>
      <c r="AW632" s="169"/>
      <c r="AX632" s="169"/>
      <c r="AY632" s="169"/>
      <c r="AZ632" s="169"/>
      <c r="BA632" s="169"/>
      <c r="BB632" s="169"/>
      <c r="BC632" s="169"/>
      <c r="BD632" s="169"/>
      <c r="BE632" s="169"/>
      <c r="BF632" s="169"/>
      <c r="BG632" s="169"/>
      <c r="BH632" s="169"/>
      <c r="BI632" s="169"/>
      <c r="BJ632" s="169"/>
      <c r="BK632" s="169"/>
      <c r="BL632" s="169"/>
      <c r="BM632" s="169"/>
      <c r="BN632" s="170"/>
      <c r="BO632" s="251"/>
      <c r="BP632" s="364"/>
      <c r="BQ632" s="364"/>
      <c r="BR632" s="364"/>
      <c r="BS632" s="250"/>
      <c r="BT632" s="364"/>
      <c r="BU632" s="364"/>
      <c r="BV632" s="364"/>
      <c r="BW632" s="364"/>
      <c r="BX632" s="364"/>
      <c r="BY632" s="250"/>
    </row>
    <row r="633" spans="3:78" ht="15" customHeight="1" thickBot="1">
      <c r="C633" s="307"/>
      <c r="D633" s="368"/>
      <c r="E633" s="371"/>
      <c r="F633" s="407"/>
      <c r="G633" s="377"/>
      <c r="H633" s="380"/>
      <c r="I633" s="383"/>
      <c r="J633" s="383"/>
      <c r="K633" s="386"/>
      <c r="L633" s="389"/>
      <c r="M633" s="392"/>
      <c r="N633" s="280" t="s">
        <v>380</v>
      </c>
      <c r="O633" s="212"/>
      <c r="P633" s="365" t="s">
        <v>154</v>
      </c>
      <c r="Q633" s="365"/>
      <c r="R633" s="171"/>
      <c r="S633" s="171"/>
      <c r="T633" s="166"/>
      <c r="U633" s="166"/>
      <c r="V633" s="166"/>
      <c r="W633" s="166"/>
      <c r="X633" s="166"/>
      <c r="Y633" s="166"/>
      <c r="Z633" s="166"/>
      <c r="AA633" s="166"/>
      <c r="AB633" s="166"/>
      <c r="AC633" s="166"/>
      <c r="AD633" s="166"/>
      <c r="AE633" s="166"/>
      <c r="AF633" s="166"/>
      <c r="AG633" s="166"/>
      <c r="AH633" s="166"/>
      <c r="AI633" s="166"/>
      <c r="AJ633" s="166"/>
      <c r="AK633" s="166"/>
      <c r="AL633" s="166"/>
      <c r="AM633" s="166"/>
      <c r="AN633" s="166"/>
      <c r="AO633" s="166"/>
      <c r="AP633" s="166"/>
      <c r="AQ633" s="166"/>
      <c r="AR633" s="166"/>
      <c r="AS633" s="166"/>
      <c r="AT633" s="166"/>
      <c r="AU633" s="166"/>
      <c r="AV633" s="166"/>
      <c r="AW633" s="166"/>
      <c r="AX633" s="166"/>
      <c r="AY633" s="166"/>
      <c r="AZ633" s="166"/>
      <c r="BA633" s="166"/>
      <c r="BB633" s="166"/>
      <c r="BC633" s="166"/>
      <c r="BD633" s="166"/>
      <c r="BE633" s="166"/>
      <c r="BF633" s="166"/>
      <c r="BG633" s="166"/>
      <c r="BH633" s="166"/>
      <c r="BI633" s="166"/>
      <c r="BJ633" s="166"/>
      <c r="BK633" s="166"/>
      <c r="BL633" s="166"/>
      <c r="BM633" s="166"/>
      <c r="BN633" s="167"/>
      <c r="BO633" s="251"/>
      <c r="BP633" s="250"/>
      <c r="BQ633" s="250"/>
      <c r="BR633" s="250"/>
      <c r="BS633" s="250"/>
      <c r="BT633" s="250"/>
      <c r="BU633" s="250"/>
      <c r="BY633" s="250"/>
    </row>
    <row r="634" spans="3:78" ht="11.25" customHeight="1">
      <c r="C634" s="97" t="s">
        <v>1240</v>
      </c>
      <c r="D634" s="366" t="s">
        <v>1396</v>
      </c>
      <c r="E634" s="369" t="s">
        <v>199</v>
      </c>
      <c r="F634" s="405" t="s">
        <v>209</v>
      </c>
      <c r="G634" s="375" t="s">
        <v>1415</v>
      </c>
      <c r="H634" s="378" t="s">
        <v>715</v>
      </c>
      <c r="I634" s="381" t="s">
        <v>715</v>
      </c>
      <c r="J634" s="381" t="s">
        <v>716</v>
      </c>
      <c r="K634" s="384">
        <v>1</v>
      </c>
      <c r="L634" s="387" t="s">
        <v>5</v>
      </c>
      <c r="M634" s="390">
        <v>0</v>
      </c>
      <c r="N634" s="163"/>
      <c r="O634" s="161"/>
      <c r="P634" s="161"/>
      <c r="Q634" s="161"/>
      <c r="R634" s="161"/>
      <c r="S634" s="161"/>
      <c r="T634" s="161"/>
      <c r="U634" s="161"/>
      <c r="V634" s="161"/>
      <c r="W634" s="161"/>
      <c r="X634" s="161"/>
      <c r="Y634" s="161"/>
      <c r="Z634" s="161"/>
      <c r="AA634" s="161"/>
      <c r="AB634" s="161"/>
      <c r="AC634" s="161"/>
      <c r="AD634" s="161"/>
      <c r="AE634" s="161"/>
      <c r="AF634" s="161"/>
      <c r="AG634" s="161"/>
      <c r="AH634" s="161"/>
      <c r="AI634" s="161"/>
      <c r="AJ634" s="161"/>
      <c r="AK634" s="161"/>
      <c r="AL634" s="161"/>
      <c r="AM634" s="161"/>
      <c r="AN634" s="161"/>
      <c r="AO634" s="161"/>
      <c r="AP634" s="161"/>
      <c r="AQ634" s="161"/>
      <c r="AR634" s="161"/>
      <c r="AS634" s="161"/>
      <c r="AT634" s="161"/>
      <c r="AU634" s="161"/>
      <c r="AV634" s="161"/>
      <c r="AW634" s="161"/>
      <c r="AX634" s="161"/>
      <c r="AY634" s="161"/>
      <c r="AZ634" s="161"/>
      <c r="BA634" s="161"/>
      <c r="BB634" s="161"/>
      <c r="BC634" s="161"/>
      <c r="BD634" s="161"/>
      <c r="BE634" s="161"/>
      <c r="BF634" s="161"/>
      <c r="BG634" s="161"/>
      <c r="BH634" s="161"/>
      <c r="BI634" s="161"/>
      <c r="BJ634" s="161"/>
      <c r="BK634" s="161"/>
      <c r="BL634" s="161"/>
      <c r="BM634" s="161"/>
      <c r="BN634" s="162"/>
      <c r="BO634" s="251"/>
      <c r="BP634" s="250"/>
      <c r="BQ634" s="250"/>
      <c r="BR634" s="250"/>
      <c r="BS634" s="250"/>
      <c r="BT634" s="250"/>
      <c r="BU634" s="250"/>
      <c r="BY634" s="250"/>
    </row>
    <row r="635" spans="3:78" ht="11.25" customHeight="1">
      <c r="C635" s="306"/>
      <c r="D635" s="367"/>
      <c r="E635" s="370"/>
      <c r="F635" s="406"/>
      <c r="G635" s="376"/>
      <c r="H635" s="379"/>
      <c r="I635" s="382"/>
      <c r="J635" s="382"/>
      <c r="K635" s="385"/>
      <c r="L635" s="388"/>
      <c r="M635" s="391"/>
      <c r="N635" s="393"/>
      <c r="O635" s="396">
        <v>1</v>
      </c>
      <c r="P635" s="399" t="s">
        <v>1297</v>
      </c>
      <c r="Q635" s="402"/>
      <c r="R635" s="361" t="s">
        <v>154</v>
      </c>
      <c r="S635" s="361" t="s">
        <v>154</v>
      </c>
      <c r="T635" s="361" t="s">
        <v>154</v>
      </c>
      <c r="U635" s="361" t="s">
        <v>154</v>
      </c>
      <c r="V635" s="361" t="s">
        <v>154</v>
      </c>
      <c r="W635" s="361" t="s">
        <v>154</v>
      </c>
      <c r="X635" s="361" t="s">
        <v>154</v>
      </c>
      <c r="Y635" s="361" t="s">
        <v>154</v>
      </c>
      <c r="Z635" s="361" t="s">
        <v>154</v>
      </c>
      <c r="AA635" s="361" t="s">
        <v>154</v>
      </c>
      <c r="AB635" s="361" t="s">
        <v>154</v>
      </c>
      <c r="AC635" s="361" t="s">
        <v>154</v>
      </c>
      <c r="AD635" s="361" t="s">
        <v>154</v>
      </c>
      <c r="AE635" s="209"/>
      <c r="AF635" s="220">
        <v>0</v>
      </c>
      <c r="AG635" s="219" t="s">
        <v>308</v>
      </c>
      <c r="AH635" s="219"/>
      <c r="AI635" s="219"/>
      <c r="AJ635" s="219"/>
      <c r="AK635" s="219"/>
      <c r="AL635" s="219"/>
      <c r="AM635" s="219"/>
      <c r="AN635" s="219"/>
      <c r="AO635" s="219"/>
      <c r="AP635" s="164"/>
      <c r="AQ635" s="164"/>
      <c r="AR635" s="164"/>
      <c r="AS635" s="164"/>
      <c r="AT635" s="164"/>
      <c r="AU635" s="164"/>
      <c r="AV635" s="164"/>
      <c r="AW635" s="164"/>
      <c r="AX635" s="164"/>
      <c r="AY635" s="164"/>
      <c r="AZ635" s="164"/>
      <c r="BA635" s="164"/>
      <c r="BB635" s="164"/>
      <c r="BC635" s="164"/>
      <c r="BD635" s="164"/>
      <c r="BE635" s="164"/>
      <c r="BF635" s="164"/>
      <c r="BG635" s="164"/>
      <c r="BH635" s="164"/>
      <c r="BI635" s="164"/>
      <c r="BJ635" s="164"/>
      <c r="BK635" s="164"/>
      <c r="BL635" s="164"/>
      <c r="BM635" s="164"/>
      <c r="BN635" s="165"/>
      <c r="BO635" s="251"/>
      <c r="BP635" s="364" t="s">
        <v>1298</v>
      </c>
      <c r="BQ635" s="364" t="s">
        <v>1298</v>
      </c>
      <c r="BR635" s="364" t="s">
        <v>1298</v>
      </c>
      <c r="BS635" s="250"/>
      <c r="BT635" s="364" t="s">
        <v>1298</v>
      </c>
      <c r="BU635" s="364" t="s">
        <v>1298</v>
      </c>
      <c r="BV635" s="364" t="s">
        <v>1298</v>
      </c>
      <c r="BW635" s="364" t="s">
        <v>1298</v>
      </c>
      <c r="BX635" s="364" t="s">
        <v>1298</v>
      </c>
      <c r="BY635" s="250"/>
    </row>
    <row r="636" spans="3:78" ht="14.25">
      <c r="C636" s="306"/>
      <c r="D636" s="367"/>
      <c r="E636" s="370"/>
      <c r="F636" s="406"/>
      <c r="G636" s="376"/>
      <c r="H636" s="379"/>
      <c r="I636" s="382"/>
      <c r="J636" s="382"/>
      <c r="K636" s="385"/>
      <c r="L636" s="388"/>
      <c r="M636" s="391"/>
      <c r="N636" s="394"/>
      <c r="O636" s="397"/>
      <c r="P636" s="400"/>
      <c r="Q636" s="403"/>
      <c r="R636" s="362"/>
      <c r="S636" s="362"/>
      <c r="T636" s="362"/>
      <c r="U636" s="362"/>
      <c r="V636" s="362"/>
      <c r="W636" s="362"/>
      <c r="X636" s="362"/>
      <c r="Y636" s="362"/>
      <c r="Z636" s="362"/>
      <c r="AA636" s="362"/>
      <c r="AB636" s="362"/>
      <c r="AC636" s="362"/>
      <c r="AD636" s="362"/>
      <c r="AE636" s="193"/>
      <c r="AF636" s="217" t="s">
        <v>268</v>
      </c>
      <c r="AG636" s="158" t="s">
        <v>221</v>
      </c>
      <c r="AH636" s="300" t="s">
        <v>19</v>
      </c>
      <c r="AI636" s="301" t="s">
        <v>154</v>
      </c>
      <c r="AJ636" s="221"/>
      <c r="AK636" s="221"/>
      <c r="AL636" s="221"/>
      <c r="AM636" s="221"/>
      <c r="AN636" s="221"/>
      <c r="AO636" s="221"/>
      <c r="AP636" s="302" t="s">
        <v>19</v>
      </c>
      <c r="AQ636" s="195">
        <f>SUM(AT636,AW636,AZ636,BC636,BF636,BI636,BL636)</f>
        <v>4054.687749966025</v>
      </c>
      <c r="AR636" s="197">
        <f>SUM(AT636,AX636,BA636,BD636,BG636,BJ636,BM636)</f>
        <v>0</v>
      </c>
      <c r="AS636" s="195">
        <f>AQ636-AR636</f>
        <v>4054.687749966025</v>
      </c>
      <c r="AT636" s="312"/>
      <c r="AU636" s="312"/>
      <c r="AV636" s="244"/>
      <c r="AW636" s="159"/>
      <c r="AX636" s="312"/>
      <c r="AY636" s="194">
        <f>AW636-AX636</f>
        <v>0</v>
      </c>
      <c r="AZ636" s="160"/>
      <c r="BA636" s="312"/>
      <c r="BB636" s="194">
        <f>AZ636-BA636</f>
        <v>0</v>
      </c>
      <c r="BC636" s="159">
        <v>4054.687749966025</v>
      </c>
      <c r="BD636" s="312"/>
      <c r="BE636" s="194">
        <f>BC636-BD636</f>
        <v>4054.687749966025</v>
      </c>
      <c r="BF636" s="159"/>
      <c r="BG636" s="244"/>
      <c r="BH636" s="194">
        <f>BF636-BG636</f>
        <v>0</v>
      </c>
      <c r="BI636" s="159"/>
      <c r="BJ636" s="244"/>
      <c r="BK636" s="194">
        <f>BI636-BJ636</f>
        <v>0</v>
      </c>
      <c r="BL636" s="312"/>
      <c r="BM636" s="312"/>
      <c r="BN636" s="195">
        <f>BL636-BM636</f>
        <v>0</v>
      </c>
      <c r="BO636" s="251">
        <v>0</v>
      </c>
      <c r="BP636" s="364"/>
      <c r="BQ636" s="364"/>
      <c r="BR636" s="364"/>
      <c r="BS636" s="249" t="str">
        <f>AG636 &amp; BO636</f>
        <v>Амортизационные отчисления0</v>
      </c>
      <c r="BT636" s="364"/>
      <c r="BU636" s="364"/>
      <c r="BV636" s="364"/>
      <c r="BW636" s="364"/>
      <c r="BX636" s="364"/>
      <c r="BY636" s="249" t="str">
        <f>AG636&amp;AH636</f>
        <v>Амортизационные отчислениянет</v>
      </c>
      <c r="BZ636" s="250"/>
    </row>
    <row r="637" spans="3:78" ht="14.25">
      <c r="C637" s="97"/>
      <c r="D637" s="367"/>
      <c r="E637" s="370"/>
      <c r="F637" s="406"/>
      <c r="G637" s="376"/>
      <c r="H637" s="379"/>
      <c r="I637" s="382"/>
      <c r="J637" s="382"/>
      <c r="K637" s="385"/>
      <c r="L637" s="388"/>
      <c r="M637" s="391"/>
      <c r="N637" s="394"/>
      <c r="O637" s="397"/>
      <c r="P637" s="400"/>
      <c r="Q637" s="403"/>
      <c r="R637" s="362"/>
      <c r="S637" s="362"/>
      <c r="T637" s="362"/>
      <c r="U637" s="362"/>
      <c r="V637" s="362"/>
      <c r="W637" s="362"/>
      <c r="X637" s="362"/>
      <c r="Y637" s="362"/>
      <c r="Z637" s="362"/>
      <c r="AA637" s="362"/>
      <c r="AB637" s="362"/>
      <c r="AC637" s="362"/>
      <c r="AD637" s="362"/>
      <c r="AE637" s="322" t="s">
        <v>1240</v>
      </c>
      <c r="AF637" s="217" t="s">
        <v>118</v>
      </c>
      <c r="AG637" s="196" t="s">
        <v>223</v>
      </c>
      <c r="AH637" s="302" t="s">
        <v>19</v>
      </c>
      <c r="AI637" s="301" t="s">
        <v>154</v>
      </c>
      <c r="AJ637" s="221"/>
      <c r="AK637" s="221"/>
      <c r="AL637" s="221"/>
      <c r="AM637" s="221"/>
      <c r="AN637" s="221"/>
      <c r="AO637" s="221"/>
      <c r="AP637" s="302" t="s">
        <v>19</v>
      </c>
      <c r="AQ637" s="195">
        <f>SUM(AT637,AW637,AZ637,BC637,BF637,BI637,BL637)</f>
        <v>810.93754999320481</v>
      </c>
      <c r="AR637" s="197">
        <f>SUM(AT637,AX637,BA637,BD637,BG637,BJ637,BM637)</f>
        <v>0</v>
      </c>
      <c r="AS637" s="195">
        <f>AQ637-AR637</f>
        <v>810.93754999320481</v>
      </c>
      <c r="AT637" s="315"/>
      <c r="AU637" s="315"/>
      <c r="AV637" s="241"/>
      <c r="AW637" s="198"/>
      <c r="AX637" s="313"/>
      <c r="AY637" s="199">
        <f>AW637-AX637</f>
        <v>0</v>
      </c>
      <c r="AZ637" s="173"/>
      <c r="BA637" s="313"/>
      <c r="BB637" s="199">
        <f>AZ637-BA637</f>
        <v>0</v>
      </c>
      <c r="BC637" s="198">
        <f>4865.62529995923-BC636</f>
        <v>810.93754999320481</v>
      </c>
      <c r="BD637" s="313"/>
      <c r="BE637" s="199">
        <f>BC637-BD637</f>
        <v>810.93754999320481</v>
      </c>
      <c r="BF637" s="198"/>
      <c r="BG637" s="241"/>
      <c r="BH637" s="199">
        <f>BF637-BG637</f>
        <v>0</v>
      </c>
      <c r="BI637" s="198"/>
      <c r="BJ637" s="241"/>
      <c r="BK637" s="199">
        <f>BI637-BJ637</f>
        <v>0</v>
      </c>
      <c r="BL637" s="313"/>
      <c r="BM637" s="313"/>
      <c r="BN637" s="195">
        <f>BL637-BM637</f>
        <v>0</v>
      </c>
      <c r="BO637" s="251">
        <v>0</v>
      </c>
      <c r="BP637" s="364"/>
      <c r="BQ637" s="364"/>
      <c r="BR637" s="364"/>
      <c r="BS637" s="249" t="str">
        <f>AG637 &amp; BO637</f>
        <v>Прочие собственные средства0</v>
      </c>
      <c r="BT637" s="364"/>
      <c r="BU637" s="364"/>
      <c r="BV637" s="364"/>
      <c r="BW637" s="364"/>
      <c r="BX637" s="364"/>
      <c r="BY637" s="249" t="str">
        <f>AG637&amp;AH637</f>
        <v>Прочие собственные средстванет</v>
      </c>
      <c r="BZ637" s="250"/>
    </row>
    <row r="638" spans="3:78" ht="15" customHeight="1">
      <c r="C638" s="306"/>
      <c r="D638" s="367"/>
      <c r="E638" s="370"/>
      <c r="F638" s="406"/>
      <c r="G638" s="376"/>
      <c r="H638" s="379"/>
      <c r="I638" s="382"/>
      <c r="J638" s="382"/>
      <c r="K638" s="385"/>
      <c r="L638" s="388"/>
      <c r="M638" s="391"/>
      <c r="N638" s="395"/>
      <c r="O638" s="398"/>
      <c r="P638" s="401"/>
      <c r="Q638" s="404"/>
      <c r="R638" s="363"/>
      <c r="S638" s="363"/>
      <c r="T638" s="363"/>
      <c r="U638" s="363"/>
      <c r="V638" s="363"/>
      <c r="W638" s="363"/>
      <c r="X638" s="363"/>
      <c r="Y638" s="363"/>
      <c r="Z638" s="363"/>
      <c r="AA638" s="363"/>
      <c r="AB638" s="363"/>
      <c r="AC638" s="363"/>
      <c r="AD638" s="363"/>
      <c r="AE638" s="279" t="s">
        <v>379</v>
      </c>
      <c r="AF638" s="203"/>
      <c r="AG638" s="223" t="s">
        <v>24</v>
      </c>
      <c r="AH638" s="223"/>
      <c r="AI638" s="223"/>
      <c r="AJ638" s="223"/>
      <c r="AK638" s="223"/>
      <c r="AL638" s="223"/>
      <c r="AM638" s="223"/>
      <c r="AN638" s="223"/>
      <c r="AO638" s="223"/>
      <c r="AP638" s="168"/>
      <c r="AQ638" s="169"/>
      <c r="AR638" s="169"/>
      <c r="AS638" s="169"/>
      <c r="AT638" s="169"/>
      <c r="AU638" s="169"/>
      <c r="AV638" s="169"/>
      <c r="AW638" s="169"/>
      <c r="AX638" s="169"/>
      <c r="AY638" s="169"/>
      <c r="AZ638" s="169"/>
      <c r="BA638" s="169"/>
      <c r="BB638" s="169"/>
      <c r="BC638" s="169"/>
      <c r="BD638" s="169"/>
      <c r="BE638" s="169"/>
      <c r="BF638" s="169"/>
      <c r="BG638" s="169"/>
      <c r="BH638" s="169"/>
      <c r="BI638" s="169"/>
      <c r="BJ638" s="169"/>
      <c r="BK638" s="169"/>
      <c r="BL638" s="169"/>
      <c r="BM638" s="169"/>
      <c r="BN638" s="170"/>
      <c r="BO638" s="251"/>
      <c r="BP638" s="364"/>
      <c r="BQ638" s="364"/>
      <c r="BR638" s="364"/>
      <c r="BS638" s="250"/>
      <c r="BT638" s="364"/>
      <c r="BU638" s="364"/>
      <c r="BV638" s="364"/>
      <c r="BW638" s="364"/>
      <c r="BX638" s="364"/>
      <c r="BY638" s="250"/>
    </row>
    <row r="639" spans="3:78" ht="15" customHeight="1" thickBot="1">
      <c r="C639" s="307"/>
      <c r="D639" s="368"/>
      <c r="E639" s="371"/>
      <c r="F639" s="407"/>
      <c r="G639" s="377"/>
      <c r="H639" s="380"/>
      <c r="I639" s="383"/>
      <c r="J639" s="383"/>
      <c r="K639" s="386"/>
      <c r="L639" s="389"/>
      <c r="M639" s="392"/>
      <c r="N639" s="280" t="s">
        <v>380</v>
      </c>
      <c r="O639" s="212"/>
      <c r="P639" s="365" t="s">
        <v>154</v>
      </c>
      <c r="Q639" s="365"/>
      <c r="R639" s="171"/>
      <c r="S639" s="171"/>
      <c r="T639" s="166"/>
      <c r="U639" s="166"/>
      <c r="V639" s="166"/>
      <c r="W639" s="166"/>
      <c r="X639" s="166"/>
      <c r="Y639" s="166"/>
      <c r="Z639" s="166"/>
      <c r="AA639" s="166"/>
      <c r="AB639" s="166"/>
      <c r="AC639" s="166"/>
      <c r="AD639" s="166"/>
      <c r="AE639" s="166"/>
      <c r="AF639" s="166"/>
      <c r="AG639" s="166"/>
      <c r="AH639" s="166"/>
      <c r="AI639" s="166"/>
      <c r="AJ639" s="166"/>
      <c r="AK639" s="166"/>
      <c r="AL639" s="166"/>
      <c r="AM639" s="166"/>
      <c r="AN639" s="166"/>
      <c r="AO639" s="166"/>
      <c r="AP639" s="166"/>
      <c r="AQ639" s="166"/>
      <c r="AR639" s="166"/>
      <c r="AS639" s="166"/>
      <c r="AT639" s="166"/>
      <c r="AU639" s="166"/>
      <c r="AV639" s="166"/>
      <c r="AW639" s="166"/>
      <c r="AX639" s="166"/>
      <c r="AY639" s="166"/>
      <c r="AZ639" s="166"/>
      <c r="BA639" s="166"/>
      <c r="BB639" s="166"/>
      <c r="BC639" s="166"/>
      <c r="BD639" s="166"/>
      <c r="BE639" s="166"/>
      <c r="BF639" s="166"/>
      <c r="BG639" s="166"/>
      <c r="BH639" s="166"/>
      <c r="BI639" s="166"/>
      <c r="BJ639" s="166"/>
      <c r="BK639" s="166"/>
      <c r="BL639" s="166"/>
      <c r="BM639" s="166"/>
      <c r="BN639" s="167"/>
      <c r="BO639" s="251"/>
      <c r="BP639" s="250"/>
      <c r="BQ639" s="250"/>
      <c r="BR639" s="250"/>
      <c r="BS639" s="250"/>
      <c r="BT639" s="250"/>
      <c r="BU639" s="250"/>
      <c r="BY639" s="250"/>
    </row>
    <row r="640" spans="3:78" ht="11.25" customHeight="1">
      <c r="C640" s="97" t="s">
        <v>1240</v>
      </c>
      <c r="D640" s="366" t="s">
        <v>1397</v>
      </c>
      <c r="E640" s="369" t="s">
        <v>199</v>
      </c>
      <c r="F640" s="405" t="s">
        <v>209</v>
      </c>
      <c r="G640" s="375" t="s">
        <v>1416</v>
      </c>
      <c r="H640" s="378" t="s">
        <v>715</v>
      </c>
      <c r="I640" s="381" t="s">
        <v>715</v>
      </c>
      <c r="J640" s="381" t="s">
        <v>716</v>
      </c>
      <c r="K640" s="384">
        <v>1</v>
      </c>
      <c r="L640" s="387" t="s">
        <v>5</v>
      </c>
      <c r="M640" s="390">
        <v>0</v>
      </c>
      <c r="N640" s="163"/>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1"/>
      <c r="AK640" s="161"/>
      <c r="AL640" s="161"/>
      <c r="AM640" s="161"/>
      <c r="AN640" s="161"/>
      <c r="AO640" s="161"/>
      <c r="AP640" s="161"/>
      <c r="AQ640" s="161"/>
      <c r="AR640" s="161"/>
      <c r="AS640" s="161"/>
      <c r="AT640" s="161"/>
      <c r="AU640" s="161"/>
      <c r="AV640" s="161"/>
      <c r="AW640" s="161"/>
      <c r="AX640" s="161"/>
      <c r="AY640" s="161"/>
      <c r="AZ640" s="161"/>
      <c r="BA640" s="161"/>
      <c r="BB640" s="161"/>
      <c r="BC640" s="161"/>
      <c r="BD640" s="161"/>
      <c r="BE640" s="161"/>
      <c r="BF640" s="161"/>
      <c r="BG640" s="161"/>
      <c r="BH640" s="161"/>
      <c r="BI640" s="161"/>
      <c r="BJ640" s="161"/>
      <c r="BK640" s="161"/>
      <c r="BL640" s="161"/>
      <c r="BM640" s="161"/>
      <c r="BN640" s="162"/>
      <c r="BO640" s="251"/>
      <c r="BP640" s="250"/>
      <c r="BQ640" s="250"/>
      <c r="BR640" s="250"/>
      <c r="BS640" s="250"/>
      <c r="BT640" s="250"/>
      <c r="BU640" s="250"/>
      <c r="BY640" s="250"/>
    </row>
    <row r="641" spans="3:78" ht="11.25" customHeight="1">
      <c r="C641" s="306"/>
      <c r="D641" s="367"/>
      <c r="E641" s="370"/>
      <c r="F641" s="406"/>
      <c r="G641" s="376"/>
      <c r="H641" s="379"/>
      <c r="I641" s="382"/>
      <c r="J641" s="382"/>
      <c r="K641" s="385"/>
      <c r="L641" s="388"/>
      <c r="M641" s="391"/>
      <c r="N641" s="393"/>
      <c r="O641" s="396">
        <v>1</v>
      </c>
      <c r="P641" s="399" t="s">
        <v>1297</v>
      </c>
      <c r="Q641" s="402"/>
      <c r="R641" s="361" t="s">
        <v>154</v>
      </c>
      <c r="S641" s="361" t="s">
        <v>154</v>
      </c>
      <c r="T641" s="361" t="s">
        <v>154</v>
      </c>
      <c r="U641" s="361" t="s">
        <v>154</v>
      </c>
      <c r="V641" s="361" t="s">
        <v>154</v>
      </c>
      <c r="W641" s="361" t="s">
        <v>154</v>
      </c>
      <c r="X641" s="361" t="s">
        <v>154</v>
      </c>
      <c r="Y641" s="361" t="s">
        <v>154</v>
      </c>
      <c r="Z641" s="361" t="s">
        <v>154</v>
      </c>
      <c r="AA641" s="361" t="s">
        <v>154</v>
      </c>
      <c r="AB641" s="361" t="s">
        <v>154</v>
      </c>
      <c r="AC641" s="361" t="s">
        <v>154</v>
      </c>
      <c r="AD641" s="361" t="s">
        <v>154</v>
      </c>
      <c r="AE641" s="209"/>
      <c r="AF641" s="220">
        <v>0</v>
      </c>
      <c r="AG641" s="219" t="s">
        <v>308</v>
      </c>
      <c r="AH641" s="219"/>
      <c r="AI641" s="219"/>
      <c r="AJ641" s="219"/>
      <c r="AK641" s="219"/>
      <c r="AL641" s="219"/>
      <c r="AM641" s="219"/>
      <c r="AN641" s="219"/>
      <c r="AO641" s="219"/>
      <c r="AP641" s="164"/>
      <c r="AQ641" s="164"/>
      <c r="AR641" s="164"/>
      <c r="AS641" s="164"/>
      <c r="AT641" s="164"/>
      <c r="AU641" s="164"/>
      <c r="AV641" s="164"/>
      <c r="AW641" s="164"/>
      <c r="AX641" s="164"/>
      <c r="AY641" s="164"/>
      <c r="AZ641" s="164"/>
      <c r="BA641" s="164"/>
      <c r="BB641" s="164"/>
      <c r="BC641" s="164"/>
      <c r="BD641" s="164"/>
      <c r="BE641" s="164"/>
      <c r="BF641" s="164"/>
      <c r="BG641" s="164"/>
      <c r="BH641" s="164"/>
      <c r="BI641" s="164"/>
      <c r="BJ641" s="164"/>
      <c r="BK641" s="164"/>
      <c r="BL641" s="164"/>
      <c r="BM641" s="164"/>
      <c r="BN641" s="165"/>
      <c r="BO641" s="251"/>
      <c r="BP641" s="364" t="s">
        <v>1298</v>
      </c>
      <c r="BQ641" s="364" t="s">
        <v>1298</v>
      </c>
      <c r="BR641" s="364" t="s">
        <v>1298</v>
      </c>
      <c r="BS641" s="250"/>
      <c r="BT641" s="364" t="s">
        <v>1298</v>
      </c>
      <c r="BU641" s="364" t="s">
        <v>1298</v>
      </c>
      <c r="BV641" s="364" t="s">
        <v>1298</v>
      </c>
      <c r="BW641" s="364" t="s">
        <v>1298</v>
      </c>
      <c r="BX641" s="364" t="s">
        <v>1298</v>
      </c>
      <c r="BY641" s="250"/>
    </row>
    <row r="642" spans="3:78" ht="14.25">
      <c r="C642" s="306"/>
      <c r="D642" s="367"/>
      <c r="E642" s="370"/>
      <c r="F642" s="406"/>
      <c r="G642" s="376"/>
      <c r="H642" s="379"/>
      <c r="I642" s="382"/>
      <c r="J642" s="382"/>
      <c r="K642" s="385"/>
      <c r="L642" s="388"/>
      <c r="M642" s="391"/>
      <c r="N642" s="394"/>
      <c r="O642" s="397"/>
      <c r="P642" s="400"/>
      <c r="Q642" s="403"/>
      <c r="R642" s="362"/>
      <c r="S642" s="362"/>
      <c r="T642" s="362"/>
      <c r="U642" s="362"/>
      <c r="V642" s="362"/>
      <c r="W642" s="362"/>
      <c r="X642" s="362"/>
      <c r="Y642" s="362"/>
      <c r="Z642" s="362"/>
      <c r="AA642" s="362"/>
      <c r="AB642" s="362"/>
      <c r="AC642" s="362"/>
      <c r="AD642" s="362"/>
      <c r="AE642" s="193"/>
      <c r="AF642" s="217" t="s">
        <v>268</v>
      </c>
      <c r="AG642" s="158" t="s">
        <v>221</v>
      </c>
      <c r="AH642" s="300" t="s">
        <v>19</v>
      </c>
      <c r="AI642" s="301" t="s">
        <v>154</v>
      </c>
      <c r="AJ642" s="221"/>
      <c r="AK642" s="221"/>
      <c r="AL642" s="221"/>
      <c r="AM642" s="221"/>
      <c r="AN642" s="221"/>
      <c r="AO642" s="221"/>
      <c r="AP642" s="302" t="s">
        <v>19</v>
      </c>
      <c r="AQ642" s="195">
        <f>SUM(AT642,AW642,AZ642,BC642,BF642,BI642,BL642)</f>
        <v>3146.9349996576334</v>
      </c>
      <c r="AR642" s="197">
        <f>SUM(AT642,AX642,BA642,BD642,BG642,BJ642,BM642)</f>
        <v>0</v>
      </c>
      <c r="AS642" s="195">
        <f>AQ642-AR642</f>
        <v>3146.9349996576334</v>
      </c>
      <c r="AT642" s="312"/>
      <c r="AU642" s="312"/>
      <c r="AV642" s="244"/>
      <c r="AW642" s="159"/>
      <c r="AX642" s="312"/>
      <c r="AY642" s="194">
        <f>AW642-AX642</f>
        <v>0</v>
      </c>
      <c r="AZ642" s="160"/>
      <c r="BA642" s="312"/>
      <c r="BB642" s="194">
        <f>AZ642-BA642</f>
        <v>0</v>
      </c>
      <c r="BC642" s="159">
        <v>3146.9349996576334</v>
      </c>
      <c r="BD642" s="312"/>
      <c r="BE642" s="194">
        <f>BC642-BD642</f>
        <v>3146.9349996576334</v>
      </c>
      <c r="BF642" s="159"/>
      <c r="BG642" s="244"/>
      <c r="BH642" s="194">
        <f>BF642-BG642</f>
        <v>0</v>
      </c>
      <c r="BI642" s="159"/>
      <c r="BJ642" s="244"/>
      <c r="BK642" s="194">
        <f>BI642-BJ642</f>
        <v>0</v>
      </c>
      <c r="BL642" s="312"/>
      <c r="BM642" s="312"/>
      <c r="BN642" s="195">
        <f>BL642-BM642</f>
        <v>0</v>
      </c>
      <c r="BO642" s="251">
        <v>0</v>
      </c>
      <c r="BP642" s="364"/>
      <c r="BQ642" s="364"/>
      <c r="BR642" s="364"/>
      <c r="BS642" s="249" t="str">
        <f>AG642 &amp; BO642</f>
        <v>Амортизационные отчисления0</v>
      </c>
      <c r="BT642" s="364"/>
      <c r="BU642" s="364"/>
      <c r="BV642" s="364"/>
      <c r="BW642" s="364"/>
      <c r="BX642" s="364"/>
      <c r="BY642" s="249" t="str">
        <f>AG642&amp;AH642</f>
        <v>Амортизационные отчислениянет</v>
      </c>
      <c r="BZ642" s="250"/>
    </row>
    <row r="643" spans="3:78" ht="14.25">
      <c r="C643" s="97"/>
      <c r="D643" s="367"/>
      <c r="E643" s="370"/>
      <c r="F643" s="406"/>
      <c r="G643" s="376"/>
      <c r="H643" s="379"/>
      <c r="I643" s="382"/>
      <c r="J643" s="382"/>
      <c r="K643" s="385"/>
      <c r="L643" s="388"/>
      <c r="M643" s="391"/>
      <c r="N643" s="394"/>
      <c r="O643" s="397"/>
      <c r="P643" s="400"/>
      <c r="Q643" s="403"/>
      <c r="R643" s="362"/>
      <c r="S643" s="362"/>
      <c r="T643" s="362"/>
      <c r="U643" s="362"/>
      <c r="V643" s="362"/>
      <c r="W643" s="362"/>
      <c r="X643" s="362"/>
      <c r="Y643" s="362"/>
      <c r="Z643" s="362"/>
      <c r="AA643" s="362"/>
      <c r="AB643" s="362"/>
      <c r="AC643" s="362"/>
      <c r="AD643" s="362"/>
      <c r="AE643" s="322" t="s">
        <v>1240</v>
      </c>
      <c r="AF643" s="217" t="s">
        <v>118</v>
      </c>
      <c r="AG643" s="196" t="s">
        <v>223</v>
      </c>
      <c r="AH643" s="302" t="s">
        <v>19</v>
      </c>
      <c r="AI643" s="301" t="s">
        <v>154</v>
      </c>
      <c r="AJ643" s="221"/>
      <c r="AK643" s="221"/>
      <c r="AL643" s="221"/>
      <c r="AM643" s="221"/>
      <c r="AN643" s="221"/>
      <c r="AO643" s="221"/>
      <c r="AP643" s="302" t="s">
        <v>19</v>
      </c>
      <c r="AQ643" s="195">
        <f>SUM(AT643,AW643,AZ643,BC643,BF643,BI643,BL643)</f>
        <v>629.38699993152659</v>
      </c>
      <c r="AR643" s="197">
        <f>SUM(AT643,AX643,BA643,BD643,BG643,BJ643,BM643)</f>
        <v>0</v>
      </c>
      <c r="AS643" s="195">
        <f>AQ643-AR643</f>
        <v>629.38699993152659</v>
      </c>
      <c r="AT643" s="315"/>
      <c r="AU643" s="315"/>
      <c r="AV643" s="241"/>
      <c r="AW643" s="198"/>
      <c r="AX643" s="313"/>
      <c r="AY643" s="199">
        <f>AW643-AX643</f>
        <v>0</v>
      </c>
      <c r="AZ643" s="173"/>
      <c r="BA643" s="313"/>
      <c r="BB643" s="199">
        <f>AZ643-BA643</f>
        <v>0</v>
      </c>
      <c r="BC643" s="198">
        <f>3776.32199958916-BC642</f>
        <v>629.38699993152659</v>
      </c>
      <c r="BD643" s="313"/>
      <c r="BE643" s="199">
        <f>BC643-BD643</f>
        <v>629.38699993152659</v>
      </c>
      <c r="BF643" s="198"/>
      <c r="BG643" s="241"/>
      <c r="BH643" s="199">
        <f>BF643-BG643</f>
        <v>0</v>
      </c>
      <c r="BI643" s="198"/>
      <c r="BJ643" s="241"/>
      <c r="BK643" s="199">
        <f>BI643-BJ643</f>
        <v>0</v>
      </c>
      <c r="BL643" s="313"/>
      <c r="BM643" s="313"/>
      <c r="BN643" s="195">
        <f>BL643-BM643</f>
        <v>0</v>
      </c>
      <c r="BO643" s="251">
        <v>0</v>
      </c>
      <c r="BP643" s="364"/>
      <c r="BQ643" s="364"/>
      <c r="BR643" s="364"/>
      <c r="BS643" s="249" t="str">
        <f>AG643 &amp; BO643</f>
        <v>Прочие собственные средства0</v>
      </c>
      <c r="BT643" s="364"/>
      <c r="BU643" s="364"/>
      <c r="BV643" s="364"/>
      <c r="BW643" s="364"/>
      <c r="BX643" s="364"/>
      <c r="BY643" s="249" t="str">
        <f>AG643&amp;AH643</f>
        <v>Прочие собственные средстванет</v>
      </c>
      <c r="BZ643" s="250"/>
    </row>
    <row r="644" spans="3:78" ht="15" customHeight="1">
      <c r="C644" s="306"/>
      <c r="D644" s="367"/>
      <c r="E644" s="370"/>
      <c r="F644" s="406"/>
      <c r="G644" s="376"/>
      <c r="H644" s="379"/>
      <c r="I644" s="382"/>
      <c r="J644" s="382"/>
      <c r="K644" s="385"/>
      <c r="L644" s="388"/>
      <c r="M644" s="391"/>
      <c r="N644" s="395"/>
      <c r="O644" s="398"/>
      <c r="P644" s="401"/>
      <c r="Q644" s="404"/>
      <c r="R644" s="363"/>
      <c r="S644" s="363"/>
      <c r="T644" s="363"/>
      <c r="U644" s="363"/>
      <c r="V644" s="363"/>
      <c r="W644" s="363"/>
      <c r="X644" s="363"/>
      <c r="Y644" s="363"/>
      <c r="Z644" s="363"/>
      <c r="AA644" s="363"/>
      <c r="AB644" s="363"/>
      <c r="AC644" s="363"/>
      <c r="AD644" s="363"/>
      <c r="AE644" s="279" t="s">
        <v>379</v>
      </c>
      <c r="AF644" s="203"/>
      <c r="AG644" s="223" t="s">
        <v>24</v>
      </c>
      <c r="AH644" s="223"/>
      <c r="AI644" s="223"/>
      <c r="AJ644" s="223"/>
      <c r="AK644" s="223"/>
      <c r="AL644" s="223"/>
      <c r="AM644" s="223"/>
      <c r="AN644" s="223"/>
      <c r="AO644" s="223"/>
      <c r="AP644" s="168"/>
      <c r="AQ644" s="169"/>
      <c r="AR644" s="169"/>
      <c r="AS644" s="169"/>
      <c r="AT644" s="169"/>
      <c r="AU644" s="169"/>
      <c r="AV644" s="169"/>
      <c r="AW644" s="169"/>
      <c r="AX644" s="169"/>
      <c r="AY644" s="169"/>
      <c r="AZ644" s="169"/>
      <c r="BA644" s="169"/>
      <c r="BB644" s="169"/>
      <c r="BC644" s="169"/>
      <c r="BD644" s="169"/>
      <c r="BE644" s="169"/>
      <c r="BF644" s="169"/>
      <c r="BG644" s="169"/>
      <c r="BH644" s="169"/>
      <c r="BI644" s="169"/>
      <c r="BJ644" s="169"/>
      <c r="BK644" s="169"/>
      <c r="BL644" s="169"/>
      <c r="BM644" s="169"/>
      <c r="BN644" s="170"/>
      <c r="BO644" s="251"/>
      <c r="BP644" s="364"/>
      <c r="BQ644" s="364"/>
      <c r="BR644" s="364"/>
      <c r="BS644" s="250"/>
      <c r="BT644" s="364"/>
      <c r="BU644" s="364"/>
      <c r="BV644" s="364"/>
      <c r="BW644" s="364"/>
      <c r="BX644" s="364"/>
      <c r="BY644" s="250"/>
    </row>
    <row r="645" spans="3:78" ht="15" customHeight="1" thickBot="1">
      <c r="C645" s="307"/>
      <c r="D645" s="368"/>
      <c r="E645" s="371"/>
      <c r="F645" s="407"/>
      <c r="G645" s="377"/>
      <c r="H645" s="380"/>
      <c r="I645" s="383"/>
      <c r="J645" s="383"/>
      <c r="K645" s="386"/>
      <c r="L645" s="389"/>
      <c r="M645" s="392"/>
      <c r="N645" s="280" t="s">
        <v>380</v>
      </c>
      <c r="O645" s="212"/>
      <c r="P645" s="365" t="s">
        <v>154</v>
      </c>
      <c r="Q645" s="365"/>
      <c r="R645" s="171"/>
      <c r="S645" s="171"/>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6"/>
      <c r="AY645" s="166"/>
      <c r="AZ645" s="166"/>
      <c r="BA645" s="166"/>
      <c r="BB645" s="166"/>
      <c r="BC645" s="166"/>
      <c r="BD645" s="166"/>
      <c r="BE645" s="166"/>
      <c r="BF645" s="166"/>
      <c r="BG645" s="166"/>
      <c r="BH645" s="166"/>
      <c r="BI645" s="166"/>
      <c r="BJ645" s="166"/>
      <c r="BK645" s="166"/>
      <c r="BL645" s="166"/>
      <c r="BM645" s="166"/>
      <c r="BN645" s="167"/>
      <c r="BO645" s="251"/>
      <c r="BP645" s="250"/>
      <c r="BQ645" s="250"/>
      <c r="BR645" s="250"/>
      <c r="BS645" s="250"/>
      <c r="BT645" s="250"/>
      <c r="BU645" s="250"/>
      <c r="BY645" s="250"/>
    </row>
    <row r="646" spans="3:78" ht="11.25" customHeight="1">
      <c r="C646" s="97" t="s">
        <v>1240</v>
      </c>
      <c r="D646" s="366" t="s">
        <v>1398</v>
      </c>
      <c r="E646" s="369" t="s">
        <v>199</v>
      </c>
      <c r="F646" s="405" t="s">
        <v>209</v>
      </c>
      <c r="G646" s="375" t="s">
        <v>1417</v>
      </c>
      <c r="H646" s="378" t="s">
        <v>715</v>
      </c>
      <c r="I646" s="381" t="s">
        <v>715</v>
      </c>
      <c r="J646" s="381" t="s">
        <v>716</v>
      </c>
      <c r="K646" s="384">
        <v>1</v>
      </c>
      <c r="L646" s="387" t="s">
        <v>5</v>
      </c>
      <c r="M646" s="390">
        <v>0</v>
      </c>
      <c r="N646" s="163"/>
      <c r="O646" s="161"/>
      <c r="P646" s="161"/>
      <c r="Q646" s="161"/>
      <c r="R646" s="161"/>
      <c r="S646" s="161"/>
      <c r="T646" s="161"/>
      <c r="U646" s="161"/>
      <c r="V646" s="161"/>
      <c r="W646" s="161"/>
      <c r="X646" s="161"/>
      <c r="Y646" s="161"/>
      <c r="Z646" s="161"/>
      <c r="AA646" s="161"/>
      <c r="AB646" s="161"/>
      <c r="AC646" s="161"/>
      <c r="AD646" s="161"/>
      <c r="AE646" s="161"/>
      <c r="AF646" s="161"/>
      <c r="AG646" s="161"/>
      <c r="AH646" s="161"/>
      <c r="AI646" s="161"/>
      <c r="AJ646" s="161"/>
      <c r="AK646" s="161"/>
      <c r="AL646" s="161"/>
      <c r="AM646" s="161"/>
      <c r="AN646" s="161"/>
      <c r="AO646" s="161"/>
      <c r="AP646" s="161"/>
      <c r="AQ646" s="161"/>
      <c r="AR646" s="161"/>
      <c r="AS646" s="161"/>
      <c r="AT646" s="161"/>
      <c r="AU646" s="161"/>
      <c r="AV646" s="161"/>
      <c r="AW646" s="161"/>
      <c r="AX646" s="161"/>
      <c r="AY646" s="161"/>
      <c r="AZ646" s="161"/>
      <c r="BA646" s="161"/>
      <c r="BB646" s="161"/>
      <c r="BC646" s="161"/>
      <c r="BD646" s="161"/>
      <c r="BE646" s="161"/>
      <c r="BF646" s="161"/>
      <c r="BG646" s="161"/>
      <c r="BH646" s="161"/>
      <c r="BI646" s="161"/>
      <c r="BJ646" s="161"/>
      <c r="BK646" s="161"/>
      <c r="BL646" s="161"/>
      <c r="BM646" s="161"/>
      <c r="BN646" s="162"/>
      <c r="BO646" s="251"/>
      <c r="BP646" s="250"/>
      <c r="BQ646" s="250"/>
      <c r="BR646" s="250"/>
      <c r="BS646" s="250"/>
      <c r="BT646" s="250"/>
      <c r="BU646" s="250"/>
      <c r="BY646" s="250"/>
    </row>
    <row r="647" spans="3:78" ht="11.25" customHeight="1">
      <c r="C647" s="306"/>
      <c r="D647" s="367"/>
      <c r="E647" s="370"/>
      <c r="F647" s="406"/>
      <c r="G647" s="376"/>
      <c r="H647" s="379"/>
      <c r="I647" s="382"/>
      <c r="J647" s="382"/>
      <c r="K647" s="385"/>
      <c r="L647" s="388"/>
      <c r="M647" s="391"/>
      <c r="N647" s="393"/>
      <c r="O647" s="396">
        <v>1</v>
      </c>
      <c r="P647" s="399" t="s">
        <v>1297</v>
      </c>
      <c r="Q647" s="402"/>
      <c r="R647" s="361" t="s">
        <v>154</v>
      </c>
      <c r="S647" s="361" t="s">
        <v>154</v>
      </c>
      <c r="T647" s="361" t="s">
        <v>154</v>
      </c>
      <c r="U647" s="361" t="s">
        <v>154</v>
      </c>
      <c r="V647" s="361" t="s">
        <v>154</v>
      </c>
      <c r="W647" s="361" t="s">
        <v>154</v>
      </c>
      <c r="X647" s="361" t="s">
        <v>154</v>
      </c>
      <c r="Y647" s="361" t="s">
        <v>154</v>
      </c>
      <c r="Z647" s="361" t="s">
        <v>154</v>
      </c>
      <c r="AA647" s="361" t="s">
        <v>154</v>
      </c>
      <c r="AB647" s="361" t="s">
        <v>154</v>
      </c>
      <c r="AC647" s="361" t="s">
        <v>154</v>
      </c>
      <c r="AD647" s="361" t="s">
        <v>154</v>
      </c>
      <c r="AE647" s="209"/>
      <c r="AF647" s="220">
        <v>0</v>
      </c>
      <c r="AG647" s="219" t="s">
        <v>308</v>
      </c>
      <c r="AH647" s="219"/>
      <c r="AI647" s="219"/>
      <c r="AJ647" s="219"/>
      <c r="AK647" s="219"/>
      <c r="AL647" s="219"/>
      <c r="AM647" s="219"/>
      <c r="AN647" s="219"/>
      <c r="AO647" s="219"/>
      <c r="AP647" s="164"/>
      <c r="AQ647" s="164"/>
      <c r="AR647" s="164"/>
      <c r="AS647" s="164"/>
      <c r="AT647" s="164"/>
      <c r="AU647" s="164"/>
      <c r="AV647" s="164"/>
      <c r="AW647" s="164"/>
      <c r="AX647" s="164"/>
      <c r="AY647" s="164"/>
      <c r="AZ647" s="164"/>
      <c r="BA647" s="164"/>
      <c r="BB647" s="164"/>
      <c r="BC647" s="164"/>
      <c r="BD647" s="164"/>
      <c r="BE647" s="164"/>
      <c r="BF647" s="164"/>
      <c r="BG647" s="164"/>
      <c r="BH647" s="164"/>
      <c r="BI647" s="164"/>
      <c r="BJ647" s="164"/>
      <c r="BK647" s="164"/>
      <c r="BL647" s="164"/>
      <c r="BM647" s="164"/>
      <c r="BN647" s="165"/>
      <c r="BO647" s="251"/>
      <c r="BP647" s="364" t="s">
        <v>1298</v>
      </c>
      <c r="BQ647" s="364" t="s">
        <v>1298</v>
      </c>
      <c r="BR647" s="364" t="s">
        <v>1298</v>
      </c>
      <c r="BS647" s="250"/>
      <c r="BT647" s="364" t="s">
        <v>1298</v>
      </c>
      <c r="BU647" s="364" t="s">
        <v>1298</v>
      </c>
      <c r="BV647" s="364" t="s">
        <v>1298</v>
      </c>
      <c r="BW647" s="364" t="s">
        <v>1298</v>
      </c>
      <c r="BX647" s="364" t="s">
        <v>1298</v>
      </c>
      <c r="BY647" s="250"/>
    </row>
    <row r="648" spans="3:78" ht="14.25">
      <c r="C648" s="306"/>
      <c r="D648" s="367"/>
      <c r="E648" s="370"/>
      <c r="F648" s="406"/>
      <c r="G648" s="376"/>
      <c r="H648" s="379"/>
      <c r="I648" s="382"/>
      <c r="J648" s="382"/>
      <c r="K648" s="385"/>
      <c r="L648" s="388"/>
      <c r="M648" s="391"/>
      <c r="N648" s="394"/>
      <c r="O648" s="397"/>
      <c r="P648" s="400"/>
      <c r="Q648" s="403"/>
      <c r="R648" s="362"/>
      <c r="S648" s="362"/>
      <c r="T648" s="362"/>
      <c r="U648" s="362"/>
      <c r="V648" s="362"/>
      <c r="W648" s="362"/>
      <c r="X648" s="362"/>
      <c r="Y648" s="362"/>
      <c r="Z648" s="362"/>
      <c r="AA648" s="362"/>
      <c r="AB648" s="362"/>
      <c r="AC648" s="362"/>
      <c r="AD648" s="362"/>
      <c r="AE648" s="193"/>
      <c r="AF648" s="217" t="s">
        <v>268</v>
      </c>
      <c r="AG648" s="158" t="s">
        <v>221</v>
      </c>
      <c r="AH648" s="300" t="s">
        <v>19</v>
      </c>
      <c r="AI648" s="301" t="s">
        <v>154</v>
      </c>
      <c r="AJ648" s="221"/>
      <c r="AK648" s="221"/>
      <c r="AL648" s="221"/>
      <c r="AM648" s="221"/>
      <c r="AN648" s="221"/>
      <c r="AO648" s="221"/>
      <c r="AP648" s="302" t="s">
        <v>19</v>
      </c>
      <c r="AQ648" s="195">
        <f>SUM(AT648,AW648,AZ648,BC648,BF648,BI648,BL648)</f>
        <v>1393.1566092018584</v>
      </c>
      <c r="AR648" s="197">
        <f>SUM(AT648,AX648,BA648,BD648,BG648,BJ648,BM648)</f>
        <v>0</v>
      </c>
      <c r="AS648" s="195">
        <f>AQ648-AR648</f>
        <v>1393.1566092018584</v>
      </c>
      <c r="AT648" s="312"/>
      <c r="AU648" s="312"/>
      <c r="AV648" s="244"/>
      <c r="AW648" s="159"/>
      <c r="AX648" s="312"/>
      <c r="AY648" s="194">
        <f>AW648-AX648</f>
        <v>0</v>
      </c>
      <c r="AZ648" s="160"/>
      <c r="BA648" s="312"/>
      <c r="BB648" s="194">
        <f>AZ648-BA648</f>
        <v>0</v>
      </c>
      <c r="BC648" s="159">
        <v>1393.1566092018584</v>
      </c>
      <c r="BD648" s="312"/>
      <c r="BE648" s="194">
        <f>BC648-BD648</f>
        <v>1393.1566092018584</v>
      </c>
      <c r="BF648" s="159"/>
      <c r="BG648" s="244"/>
      <c r="BH648" s="194">
        <f>BF648-BG648</f>
        <v>0</v>
      </c>
      <c r="BI648" s="159"/>
      <c r="BJ648" s="244"/>
      <c r="BK648" s="194">
        <f>BI648-BJ648</f>
        <v>0</v>
      </c>
      <c r="BL648" s="312"/>
      <c r="BM648" s="312"/>
      <c r="BN648" s="195">
        <f>BL648-BM648</f>
        <v>0</v>
      </c>
      <c r="BO648" s="251">
        <v>0</v>
      </c>
      <c r="BP648" s="364"/>
      <c r="BQ648" s="364"/>
      <c r="BR648" s="364"/>
      <c r="BS648" s="249" t="str">
        <f>AG648 &amp; BO648</f>
        <v>Амортизационные отчисления0</v>
      </c>
      <c r="BT648" s="364"/>
      <c r="BU648" s="364"/>
      <c r="BV648" s="364"/>
      <c r="BW648" s="364"/>
      <c r="BX648" s="364"/>
      <c r="BY648" s="249" t="str">
        <f>AG648&amp;AH648</f>
        <v>Амортизационные отчислениянет</v>
      </c>
      <c r="BZ648" s="250"/>
    </row>
    <row r="649" spans="3:78" ht="14.25">
      <c r="C649" s="97"/>
      <c r="D649" s="367"/>
      <c r="E649" s="370"/>
      <c r="F649" s="406"/>
      <c r="G649" s="376"/>
      <c r="H649" s="379"/>
      <c r="I649" s="382"/>
      <c r="J649" s="382"/>
      <c r="K649" s="385"/>
      <c r="L649" s="388"/>
      <c r="M649" s="391"/>
      <c r="N649" s="394"/>
      <c r="O649" s="397"/>
      <c r="P649" s="400"/>
      <c r="Q649" s="403"/>
      <c r="R649" s="362"/>
      <c r="S649" s="362"/>
      <c r="T649" s="362"/>
      <c r="U649" s="362"/>
      <c r="V649" s="362"/>
      <c r="W649" s="362"/>
      <c r="X649" s="362"/>
      <c r="Y649" s="362"/>
      <c r="Z649" s="362"/>
      <c r="AA649" s="362"/>
      <c r="AB649" s="362"/>
      <c r="AC649" s="362"/>
      <c r="AD649" s="362"/>
      <c r="AE649" s="322" t="s">
        <v>1240</v>
      </c>
      <c r="AF649" s="217" t="s">
        <v>118</v>
      </c>
      <c r="AG649" s="196" t="s">
        <v>223</v>
      </c>
      <c r="AH649" s="302" t="s">
        <v>19</v>
      </c>
      <c r="AI649" s="301" t="s">
        <v>154</v>
      </c>
      <c r="AJ649" s="221"/>
      <c r="AK649" s="221"/>
      <c r="AL649" s="221"/>
      <c r="AM649" s="221"/>
      <c r="AN649" s="221"/>
      <c r="AO649" s="221"/>
      <c r="AP649" s="302" t="s">
        <v>19</v>
      </c>
      <c r="AQ649" s="195">
        <f>SUM(AT649,AW649,AZ649,BC649,BF649,BI649,BL649)</f>
        <v>278.63132184037158</v>
      </c>
      <c r="AR649" s="197">
        <f>SUM(AT649,AX649,BA649,BD649,BG649,BJ649,BM649)</f>
        <v>0</v>
      </c>
      <c r="AS649" s="195">
        <f>AQ649-AR649</f>
        <v>278.63132184037158</v>
      </c>
      <c r="AT649" s="315"/>
      <c r="AU649" s="315"/>
      <c r="AV649" s="241"/>
      <c r="AW649" s="198"/>
      <c r="AX649" s="313"/>
      <c r="AY649" s="199">
        <f>AW649-AX649</f>
        <v>0</v>
      </c>
      <c r="AZ649" s="173"/>
      <c r="BA649" s="313"/>
      <c r="BB649" s="199">
        <f>AZ649-BA649</f>
        <v>0</v>
      </c>
      <c r="BC649" s="198">
        <f>1671.78793104223-BC648</f>
        <v>278.63132184037158</v>
      </c>
      <c r="BD649" s="313"/>
      <c r="BE649" s="199">
        <f>BC649-BD649</f>
        <v>278.63132184037158</v>
      </c>
      <c r="BF649" s="198"/>
      <c r="BG649" s="241"/>
      <c r="BH649" s="199">
        <f>BF649-BG649</f>
        <v>0</v>
      </c>
      <c r="BI649" s="198"/>
      <c r="BJ649" s="241"/>
      <c r="BK649" s="199">
        <f>BI649-BJ649</f>
        <v>0</v>
      </c>
      <c r="BL649" s="313"/>
      <c r="BM649" s="313"/>
      <c r="BN649" s="195">
        <f>BL649-BM649</f>
        <v>0</v>
      </c>
      <c r="BO649" s="251">
        <v>0</v>
      </c>
      <c r="BP649" s="364"/>
      <c r="BQ649" s="364"/>
      <c r="BR649" s="364"/>
      <c r="BS649" s="249" t="str">
        <f>AG649 &amp; BO649</f>
        <v>Прочие собственные средства0</v>
      </c>
      <c r="BT649" s="364"/>
      <c r="BU649" s="364"/>
      <c r="BV649" s="364"/>
      <c r="BW649" s="364"/>
      <c r="BX649" s="364"/>
      <c r="BY649" s="249" t="str">
        <f>AG649&amp;AH649</f>
        <v>Прочие собственные средстванет</v>
      </c>
      <c r="BZ649" s="250"/>
    </row>
    <row r="650" spans="3:78" ht="15" customHeight="1">
      <c r="C650" s="306"/>
      <c r="D650" s="367"/>
      <c r="E650" s="370"/>
      <c r="F650" s="406"/>
      <c r="G650" s="376"/>
      <c r="H650" s="379"/>
      <c r="I650" s="382"/>
      <c r="J650" s="382"/>
      <c r="K650" s="385"/>
      <c r="L650" s="388"/>
      <c r="M650" s="391"/>
      <c r="N650" s="395"/>
      <c r="O650" s="398"/>
      <c r="P650" s="401"/>
      <c r="Q650" s="404"/>
      <c r="R650" s="363"/>
      <c r="S650" s="363"/>
      <c r="T650" s="363"/>
      <c r="U650" s="363"/>
      <c r="V650" s="363"/>
      <c r="W650" s="363"/>
      <c r="X650" s="363"/>
      <c r="Y650" s="363"/>
      <c r="Z650" s="363"/>
      <c r="AA650" s="363"/>
      <c r="AB650" s="363"/>
      <c r="AC650" s="363"/>
      <c r="AD650" s="363"/>
      <c r="AE650" s="279" t="s">
        <v>379</v>
      </c>
      <c r="AF650" s="203"/>
      <c r="AG650" s="223" t="s">
        <v>24</v>
      </c>
      <c r="AH650" s="223"/>
      <c r="AI650" s="223"/>
      <c r="AJ650" s="223"/>
      <c r="AK650" s="223"/>
      <c r="AL650" s="223"/>
      <c r="AM650" s="223"/>
      <c r="AN650" s="223"/>
      <c r="AO650" s="223"/>
      <c r="AP650" s="168"/>
      <c r="AQ650" s="169"/>
      <c r="AR650" s="169"/>
      <c r="AS650" s="169"/>
      <c r="AT650" s="169"/>
      <c r="AU650" s="169"/>
      <c r="AV650" s="169"/>
      <c r="AW650" s="169"/>
      <c r="AX650" s="169"/>
      <c r="AY650" s="169"/>
      <c r="AZ650" s="169"/>
      <c r="BA650" s="169"/>
      <c r="BB650" s="169"/>
      <c r="BC650" s="169"/>
      <c r="BD650" s="169"/>
      <c r="BE650" s="169"/>
      <c r="BF650" s="169"/>
      <c r="BG650" s="169"/>
      <c r="BH650" s="169"/>
      <c r="BI650" s="169"/>
      <c r="BJ650" s="169"/>
      <c r="BK650" s="169"/>
      <c r="BL650" s="169"/>
      <c r="BM650" s="169"/>
      <c r="BN650" s="170"/>
      <c r="BO650" s="251"/>
      <c r="BP650" s="364"/>
      <c r="BQ650" s="364"/>
      <c r="BR650" s="364"/>
      <c r="BS650" s="250"/>
      <c r="BT650" s="364"/>
      <c r="BU650" s="364"/>
      <c r="BV650" s="364"/>
      <c r="BW650" s="364"/>
      <c r="BX650" s="364"/>
      <c r="BY650" s="250"/>
    </row>
    <row r="651" spans="3:78" ht="15" customHeight="1" thickBot="1">
      <c r="C651" s="307"/>
      <c r="D651" s="368"/>
      <c r="E651" s="371"/>
      <c r="F651" s="407"/>
      <c r="G651" s="377"/>
      <c r="H651" s="380"/>
      <c r="I651" s="383"/>
      <c r="J651" s="383"/>
      <c r="K651" s="386"/>
      <c r="L651" s="389"/>
      <c r="M651" s="392"/>
      <c r="N651" s="280" t="s">
        <v>380</v>
      </c>
      <c r="O651" s="212"/>
      <c r="P651" s="365" t="s">
        <v>154</v>
      </c>
      <c r="Q651" s="365"/>
      <c r="R651" s="171"/>
      <c r="S651" s="171"/>
      <c r="T651" s="166"/>
      <c r="U651" s="166"/>
      <c r="V651" s="166"/>
      <c r="W651" s="166"/>
      <c r="X651" s="166"/>
      <c r="Y651" s="166"/>
      <c r="Z651" s="166"/>
      <c r="AA651" s="166"/>
      <c r="AB651" s="166"/>
      <c r="AC651" s="166"/>
      <c r="AD651" s="166"/>
      <c r="AE651" s="166"/>
      <c r="AF651" s="166"/>
      <c r="AG651" s="166"/>
      <c r="AH651" s="166"/>
      <c r="AI651" s="166"/>
      <c r="AJ651" s="166"/>
      <c r="AK651" s="166"/>
      <c r="AL651" s="166"/>
      <c r="AM651" s="166"/>
      <c r="AN651" s="166"/>
      <c r="AO651" s="166"/>
      <c r="AP651" s="166"/>
      <c r="AQ651" s="166"/>
      <c r="AR651" s="166"/>
      <c r="AS651" s="166"/>
      <c r="AT651" s="166"/>
      <c r="AU651" s="166"/>
      <c r="AV651" s="166"/>
      <c r="AW651" s="166"/>
      <c r="AX651" s="166"/>
      <c r="AY651" s="166"/>
      <c r="AZ651" s="166"/>
      <c r="BA651" s="166"/>
      <c r="BB651" s="166"/>
      <c r="BC651" s="166"/>
      <c r="BD651" s="166"/>
      <c r="BE651" s="166"/>
      <c r="BF651" s="166"/>
      <c r="BG651" s="166"/>
      <c r="BH651" s="166"/>
      <c r="BI651" s="166"/>
      <c r="BJ651" s="166"/>
      <c r="BK651" s="166"/>
      <c r="BL651" s="166"/>
      <c r="BM651" s="166"/>
      <c r="BN651" s="167"/>
      <c r="BO651" s="251"/>
      <c r="BP651" s="250"/>
      <c r="BQ651" s="250"/>
      <c r="BR651" s="250"/>
      <c r="BS651" s="250"/>
      <c r="BT651" s="250"/>
      <c r="BU651" s="250"/>
      <c r="BY651" s="250"/>
    </row>
    <row r="652" spans="3:78" ht="11.25" customHeight="1">
      <c r="C652" s="97" t="s">
        <v>1240</v>
      </c>
      <c r="D652" s="366" t="s">
        <v>1399</v>
      </c>
      <c r="E652" s="369" t="s">
        <v>199</v>
      </c>
      <c r="F652" s="405" t="s">
        <v>209</v>
      </c>
      <c r="G652" s="375" t="s">
        <v>1418</v>
      </c>
      <c r="H652" s="378" t="s">
        <v>715</v>
      </c>
      <c r="I652" s="381" t="s">
        <v>715</v>
      </c>
      <c r="J652" s="381" t="s">
        <v>716</v>
      </c>
      <c r="K652" s="384">
        <v>1</v>
      </c>
      <c r="L652" s="387" t="s">
        <v>5</v>
      </c>
      <c r="M652" s="390">
        <v>0</v>
      </c>
      <c r="N652" s="163"/>
      <c r="O652" s="161"/>
      <c r="P652" s="161"/>
      <c r="Q652" s="161"/>
      <c r="R652" s="161"/>
      <c r="S652" s="161"/>
      <c r="T652" s="161"/>
      <c r="U652" s="161"/>
      <c r="V652" s="161"/>
      <c r="W652" s="161"/>
      <c r="X652" s="161"/>
      <c r="Y652" s="161"/>
      <c r="Z652" s="161"/>
      <c r="AA652" s="161"/>
      <c r="AB652" s="161"/>
      <c r="AC652" s="161"/>
      <c r="AD652" s="161"/>
      <c r="AE652" s="161"/>
      <c r="AF652" s="161"/>
      <c r="AG652" s="161"/>
      <c r="AH652" s="161"/>
      <c r="AI652" s="161"/>
      <c r="AJ652" s="161"/>
      <c r="AK652" s="161"/>
      <c r="AL652" s="161"/>
      <c r="AM652" s="161"/>
      <c r="AN652" s="161"/>
      <c r="AO652" s="161"/>
      <c r="AP652" s="161"/>
      <c r="AQ652" s="161"/>
      <c r="AR652" s="161"/>
      <c r="AS652" s="161"/>
      <c r="AT652" s="161"/>
      <c r="AU652" s="161"/>
      <c r="AV652" s="161"/>
      <c r="AW652" s="161"/>
      <c r="AX652" s="161"/>
      <c r="AY652" s="161"/>
      <c r="AZ652" s="161"/>
      <c r="BA652" s="161"/>
      <c r="BB652" s="161"/>
      <c r="BC652" s="161"/>
      <c r="BD652" s="161"/>
      <c r="BE652" s="161"/>
      <c r="BF652" s="161"/>
      <c r="BG652" s="161"/>
      <c r="BH652" s="161"/>
      <c r="BI652" s="161"/>
      <c r="BJ652" s="161"/>
      <c r="BK652" s="161"/>
      <c r="BL652" s="161"/>
      <c r="BM652" s="161"/>
      <c r="BN652" s="162"/>
      <c r="BO652" s="251"/>
      <c r="BP652" s="250"/>
      <c r="BQ652" s="250"/>
      <c r="BR652" s="250"/>
      <c r="BS652" s="250"/>
      <c r="BT652" s="250"/>
      <c r="BU652" s="250"/>
      <c r="BY652" s="250"/>
    </row>
    <row r="653" spans="3:78" ht="11.25" customHeight="1">
      <c r="C653" s="306"/>
      <c r="D653" s="367"/>
      <c r="E653" s="370"/>
      <c r="F653" s="406"/>
      <c r="G653" s="376"/>
      <c r="H653" s="379"/>
      <c r="I653" s="382"/>
      <c r="J653" s="382"/>
      <c r="K653" s="385"/>
      <c r="L653" s="388"/>
      <c r="M653" s="391"/>
      <c r="N653" s="393"/>
      <c r="O653" s="396">
        <v>1</v>
      </c>
      <c r="P653" s="399" t="s">
        <v>1297</v>
      </c>
      <c r="Q653" s="402"/>
      <c r="R653" s="361" t="s">
        <v>154</v>
      </c>
      <c r="S653" s="361" t="s">
        <v>154</v>
      </c>
      <c r="T653" s="361" t="s">
        <v>154</v>
      </c>
      <c r="U653" s="361" t="s">
        <v>154</v>
      </c>
      <c r="V653" s="361" t="s">
        <v>154</v>
      </c>
      <c r="W653" s="361" t="s">
        <v>154</v>
      </c>
      <c r="X653" s="361" t="s">
        <v>154</v>
      </c>
      <c r="Y653" s="361" t="s">
        <v>154</v>
      </c>
      <c r="Z653" s="361" t="s">
        <v>154</v>
      </c>
      <c r="AA653" s="361" t="s">
        <v>154</v>
      </c>
      <c r="AB653" s="361" t="s">
        <v>154</v>
      </c>
      <c r="AC653" s="361" t="s">
        <v>154</v>
      </c>
      <c r="AD653" s="361" t="s">
        <v>154</v>
      </c>
      <c r="AE653" s="209"/>
      <c r="AF653" s="220">
        <v>0</v>
      </c>
      <c r="AG653" s="219" t="s">
        <v>308</v>
      </c>
      <c r="AH653" s="219"/>
      <c r="AI653" s="219"/>
      <c r="AJ653" s="219"/>
      <c r="AK653" s="219"/>
      <c r="AL653" s="219"/>
      <c r="AM653" s="219"/>
      <c r="AN653" s="219"/>
      <c r="AO653" s="219"/>
      <c r="AP653" s="164"/>
      <c r="AQ653" s="164"/>
      <c r="AR653" s="164"/>
      <c r="AS653" s="164"/>
      <c r="AT653" s="164"/>
      <c r="AU653" s="164"/>
      <c r="AV653" s="164"/>
      <c r="AW653" s="164"/>
      <c r="AX653" s="164"/>
      <c r="AY653" s="164"/>
      <c r="AZ653" s="164"/>
      <c r="BA653" s="164"/>
      <c r="BB653" s="164"/>
      <c r="BC653" s="164"/>
      <c r="BD653" s="164"/>
      <c r="BE653" s="164"/>
      <c r="BF653" s="164"/>
      <c r="BG653" s="164"/>
      <c r="BH653" s="164"/>
      <c r="BI653" s="164"/>
      <c r="BJ653" s="164"/>
      <c r="BK653" s="164"/>
      <c r="BL653" s="164"/>
      <c r="BM653" s="164"/>
      <c r="BN653" s="165"/>
      <c r="BO653" s="251"/>
      <c r="BP653" s="364" t="s">
        <v>1298</v>
      </c>
      <c r="BQ653" s="364" t="s">
        <v>1298</v>
      </c>
      <c r="BR653" s="364" t="s">
        <v>1298</v>
      </c>
      <c r="BS653" s="250"/>
      <c r="BT653" s="364" t="s">
        <v>1298</v>
      </c>
      <c r="BU653" s="364" t="s">
        <v>1298</v>
      </c>
      <c r="BV653" s="364" t="s">
        <v>1298</v>
      </c>
      <c r="BW653" s="364" t="s">
        <v>1298</v>
      </c>
      <c r="BX653" s="364" t="s">
        <v>1298</v>
      </c>
      <c r="BY653" s="250"/>
    </row>
    <row r="654" spans="3:78" ht="14.25">
      <c r="C654" s="306"/>
      <c r="D654" s="367"/>
      <c r="E654" s="370"/>
      <c r="F654" s="406"/>
      <c r="G654" s="376"/>
      <c r="H654" s="379"/>
      <c r="I654" s="382"/>
      <c r="J654" s="382"/>
      <c r="K654" s="385"/>
      <c r="L654" s="388"/>
      <c r="M654" s="391"/>
      <c r="N654" s="394"/>
      <c r="O654" s="397"/>
      <c r="P654" s="400"/>
      <c r="Q654" s="403"/>
      <c r="R654" s="362"/>
      <c r="S654" s="362"/>
      <c r="T654" s="362"/>
      <c r="U654" s="362"/>
      <c r="V654" s="362"/>
      <c r="W654" s="362"/>
      <c r="X654" s="362"/>
      <c r="Y654" s="362"/>
      <c r="Z654" s="362"/>
      <c r="AA654" s="362"/>
      <c r="AB654" s="362"/>
      <c r="AC654" s="362"/>
      <c r="AD654" s="362"/>
      <c r="AE654" s="193"/>
      <c r="AF654" s="217" t="s">
        <v>268</v>
      </c>
      <c r="AG654" s="158" t="s">
        <v>221</v>
      </c>
      <c r="AH654" s="300" t="s">
        <v>19</v>
      </c>
      <c r="AI654" s="301" t="s">
        <v>154</v>
      </c>
      <c r="AJ654" s="221"/>
      <c r="AK654" s="221"/>
      <c r="AL654" s="221"/>
      <c r="AM654" s="221"/>
      <c r="AN654" s="221"/>
      <c r="AO654" s="221"/>
      <c r="AP654" s="302" t="s">
        <v>19</v>
      </c>
      <c r="AQ654" s="195">
        <f>SUM(AT654,AW654,AZ654,BC654,BF654,BI654,BL654)</f>
        <v>1638.5395972838419</v>
      </c>
      <c r="AR654" s="197">
        <f>SUM(AT654,AX654,BA654,BD654,BG654,BJ654,BM654)</f>
        <v>0</v>
      </c>
      <c r="AS654" s="195">
        <f>AQ654-AR654</f>
        <v>1638.5395972838419</v>
      </c>
      <c r="AT654" s="312"/>
      <c r="AU654" s="312"/>
      <c r="AV654" s="244"/>
      <c r="AW654" s="159"/>
      <c r="AX654" s="312"/>
      <c r="AY654" s="194">
        <f>AW654-AX654</f>
        <v>0</v>
      </c>
      <c r="AZ654" s="160"/>
      <c r="BA654" s="312"/>
      <c r="BB654" s="194">
        <f>AZ654-BA654</f>
        <v>0</v>
      </c>
      <c r="BC654" s="159">
        <v>1638.5395972838419</v>
      </c>
      <c r="BD654" s="312"/>
      <c r="BE654" s="194">
        <f>BC654-BD654</f>
        <v>1638.5395972838419</v>
      </c>
      <c r="BF654" s="159"/>
      <c r="BG654" s="244"/>
      <c r="BH654" s="194">
        <f>BF654-BG654</f>
        <v>0</v>
      </c>
      <c r="BI654" s="159"/>
      <c r="BJ654" s="244"/>
      <c r="BK654" s="194">
        <f>BI654-BJ654</f>
        <v>0</v>
      </c>
      <c r="BL654" s="312"/>
      <c r="BM654" s="312"/>
      <c r="BN654" s="195">
        <f>BL654-BM654</f>
        <v>0</v>
      </c>
      <c r="BO654" s="251">
        <v>0</v>
      </c>
      <c r="BP654" s="364"/>
      <c r="BQ654" s="364"/>
      <c r="BR654" s="364"/>
      <c r="BS654" s="249" t="str">
        <f>AG654 &amp; BO654</f>
        <v>Амортизационные отчисления0</v>
      </c>
      <c r="BT654" s="364"/>
      <c r="BU654" s="364"/>
      <c r="BV654" s="364"/>
      <c r="BW654" s="364"/>
      <c r="BX654" s="364"/>
      <c r="BY654" s="249" t="str">
        <f>AG654&amp;AH654</f>
        <v>Амортизационные отчислениянет</v>
      </c>
      <c r="BZ654" s="250"/>
    </row>
    <row r="655" spans="3:78" ht="14.25">
      <c r="C655" s="97"/>
      <c r="D655" s="367"/>
      <c r="E655" s="370"/>
      <c r="F655" s="406"/>
      <c r="G655" s="376"/>
      <c r="H655" s="379"/>
      <c r="I655" s="382"/>
      <c r="J655" s="382"/>
      <c r="K655" s="385"/>
      <c r="L655" s="388"/>
      <c r="M655" s="391"/>
      <c r="N655" s="394"/>
      <c r="O655" s="397"/>
      <c r="P655" s="400"/>
      <c r="Q655" s="403"/>
      <c r="R655" s="362"/>
      <c r="S655" s="362"/>
      <c r="T655" s="362"/>
      <c r="U655" s="362"/>
      <c r="V655" s="362"/>
      <c r="W655" s="362"/>
      <c r="X655" s="362"/>
      <c r="Y655" s="362"/>
      <c r="Z655" s="362"/>
      <c r="AA655" s="362"/>
      <c r="AB655" s="362"/>
      <c r="AC655" s="362"/>
      <c r="AD655" s="362"/>
      <c r="AE655" s="322" t="s">
        <v>1240</v>
      </c>
      <c r="AF655" s="217" t="s">
        <v>118</v>
      </c>
      <c r="AG655" s="196" t="s">
        <v>223</v>
      </c>
      <c r="AH655" s="302" t="s">
        <v>19</v>
      </c>
      <c r="AI655" s="301" t="s">
        <v>154</v>
      </c>
      <c r="AJ655" s="221"/>
      <c r="AK655" s="221"/>
      <c r="AL655" s="221"/>
      <c r="AM655" s="221"/>
      <c r="AN655" s="221"/>
      <c r="AO655" s="221"/>
      <c r="AP655" s="302" t="s">
        <v>19</v>
      </c>
      <c r="AQ655" s="195">
        <f>SUM(AT655,AW655,AZ655,BC655,BF655,BI655,BL655)</f>
        <v>327.7079194567682</v>
      </c>
      <c r="AR655" s="197">
        <f>SUM(AT655,AX655,BA655,BD655,BG655,BJ655,BM655)</f>
        <v>0</v>
      </c>
      <c r="AS655" s="195">
        <f>AQ655-AR655</f>
        <v>327.7079194567682</v>
      </c>
      <c r="AT655" s="315"/>
      <c r="AU655" s="315"/>
      <c r="AV655" s="241"/>
      <c r="AW655" s="198"/>
      <c r="AX655" s="313"/>
      <c r="AY655" s="199">
        <f>AW655-AX655</f>
        <v>0</v>
      </c>
      <c r="AZ655" s="173"/>
      <c r="BA655" s="313"/>
      <c r="BB655" s="199">
        <f>AZ655-BA655</f>
        <v>0</v>
      </c>
      <c r="BC655" s="198">
        <f>1966.24751674061-BC654</f>
        <v>327.7079194567682</v>
      </c>
      <c r="BD655" s="313"/>
      <c r="BE655" s="199">
        <f>BC655-BD655</f>
        <v>327.7079194567682</v>
      </c>
      <c r="BF655" s="198"/>
      <c r="BG655" s="241"/>
      <c r="BH655" s="199">
        <f>BF655-BG655</f>
        <v>0</v>
      </c>
      <c r="BI655" s="198"/>
      <c r="BJ655" s="241"/>
      <c r="BK655" s="199">
        <f>BI655-BJ655</f>
        <v>0</v>
      </c>
      <c r="BL655" s="313"/>
      <c r="BM655" s="313"/>
      <c r="BN655" s="195">
        <f>BL655-BM655</f>
        <v>0</v>
      </c>
      <c r="BO655" s="251">
        <v>0</v>
      </c>
      <c r="BP655" s="364"/>
      <c r="BQ655" s="364"/>
      <c r="BR655" s="364"/>
      <c r="BS655" s="249" t="str">
        <f>AG655 &amp; BO655</f>
        <v>Прочие собственные средства0</v>
      </c>
      <c r="BT655" s="364"/>
      <c r="BU655" s="364"/>
      <c r="BV655" s="364"/>
      <c r="BW655" s="364"/>
      <c r="BX655" s="364"/>
      <c r="BY655" s="249" t="str">
        <f>AG655&amp;AH655</f>
        <v>Прочие собственные средстванет</v>
      </c>
      <c r="BZ655" s="250"/>
    </row>
    <row r="656" spans="3:78" ht="15" customHeight="1">
      <c r="C656" s="306"/>
      <c r="D656" s="367"/>
      <c r="E656" s="370"/>
      <c r="F656" s="406"/>
      <c r="G656" s="376"/>
      <c r="H656" s="379"/>
      <c r="I656" s="382"/>
      <c r="J656" s="382"/>
      <c r="K656" s="385"/>
      <c r="L656" s="388"/>
      <c r="M656" s="391"/>
      <c r="N656" s="395"/>
      <c r="O656" s="398"/>
      <c r="P656" s="401"/>
      <c r="Q656" s="404"/>
      <c r="R656" s="363"/>
      <c r="S656" s="363"/>
      <c r="T656" s="363"/>
      <c r="U656" s="363"/>
      <c r="V656" s="363"/>
      <c r="W656" s="363"/>
      <c r="X656" s="363"/>
      <c r="Y656" s="363"/>
      <c r="Z656" s="363"/>
      <c r="AA656" s="363"/>
      <c r="AB656" s="363"/>
      <c r="AC656" s="363"/>
      <c r="AD656" s="363"/>
      <c r="AE656" s="279" t="s">
        <v>379</v>
      </c>
      <c r="AF656" s="203"/>
      <c r="AG656" s="223" t="s">
        <v>24</v>
      </c>
      <c r="AH656" s="223"/>
      <c r="AI656" s="223"/>
      <c r="AJ656" s="223"/>
      <c r="AK656" s="223"/>
      <c r="AL656" s="223"/>
      <c r="AM656" s="223"/>
      <c r="AN656" s="223"/>
      <c r="AO656" s="223"/>
      <c r="AP656" s="168"/>
      <c r="AQ656" s="169"/>
      <c r="AR656" s="169"/>
      <c r="AS656" s="169"/>
      <c r="AT656" s="169"/>
      <c r="AU656" s="169"/>
      <c r="AV656" s="169"/>
      <c r="AW656" s="169"/>
      <c r="AX656" s="169"/>
      <c r="AY656" s="169"/>
      <c r="AZ656" s="169"/>
      <c r="BA656" s="169"/>
      <c r="BB656" s="169"/>
      <c r="BC656" s="169"/>
      <c r="BD656" s="169"/>
      <c r="BE656" s="169"/>
      <c r="BF656" s="169"/>
      <c r="BG656" s="169"/>
      <c r="BH656" s="169"/>
      <c r="BI656" s="169"/>
      <c r="BJ656" s="169"/>
      <c r="BK656" s="169"/>
      <c r="BL656" s="169"/>
      <c r="BM656" s="169"/>
      <c r="BN656" s="170"/>
      <c r="BO656" s="251"/>
      <c r="BP656" s="364"/>
      <c r="BQ656" s="364"/>
      <c r="BR656" s="364"/>
      <c r="BS656" s="250"/>
      <c r="BT656" s="364"/>
      <c r="BU656" s="364"/>
      <c r="BV656" s="364"/>
      <c r="BW656" s="364"/>
      <c r="BX656" s="364"/>
      <c r="BY656" s="250"/>
    </row>
    <row r="657" spans="3:78" ht="15" customHeight="1" thickBot="1">
      <c r="C657" s="307"/>
      <c r="D657" s="368"/>
      <c r="E657" s="371"/>
      <c r="F657" s="407"/>
      <c r="G657" s="377"/>
      <c r="H657" s="380"/>
      <c r="I657" s="383"/>
      <c r="J657" s="383"/>
      <c r="K657" s="386"/>
      <c r="L657" s="389"/>
      <c r="M657" s="392"/>
      <c r="N657" s="280" t="s">
        <v>380</v>
      </c>
      <c r="O657" s="212"/>
      <c r="P657" s="365" t="s">
        <v>154</v>
      </c>
      <c r="Q657" s="365"/>
      <c r="R657" s="171"/>
      <c r="S657" s="171"/>
      <c r="T657" s="166"/>
      <c r="U657" s="166"/>
      <c r="V657" s="166"/>
      <c r="W657" s="166"/>
      <c r="X657" s="166"/>
      <c r="Y657" s="166"/>
      <c r="Z657" s="166"/>
      <c r="AA657" s="166"/>
      <c r="AB657" s="166"/>
      <c r="AC657" s="166"/>
      <c r="AD657" s="166"/>
      <c r="AE657" s="166"/>
      <c r="AF657" s="166"/>
      <c r="AG657" s="166"/>
      <c r="AH657" s="166"/>
      <c r="AI657" s="166"/>
      <c r="AJ657" s="166"/>
      <c r="AK657" s="166"/>
      <c r="AL657" s="166"/>
      <c r="AM657" s="166"/>
      <c r="AN657" s="166"/>
      <c r="AO657" s="166"/>
      <c r="AP657" s="166"/>
      <c r="AQ657" s="166"/>
      <c r="AR657" s="166"/>
      <c r="AS657" s="166"/>
      <c r="AT657" s="166"/>
      <c r="AU657" s="166"/>
      <c r="AV657" s="166"/>
      <c r="AW657" s="166"/>
      <c r="AX657" s="166"/>
      <c r="AY657" s="166"/>
      <c r="AZ657" s="166"/>
      <c r="BA657" s="166"/>
      <c r="BB657" s="166"/>
      <c r="BC657" s="166"/>
      <c r="BD657" s="166"/>
      <c r="BE657" s="166"/>
      <c r="BF657" s="166"/>
      <c r="BG657" s="166"/>
      <c r="BH657" s="166"/>
      <c r="BI657" s="166"/>
      <c r="BJ657" s="166"/>
      <c r="BK657" s="166"/>
      <c r="BL657" s="166"/>
      <c r="BM657" s="166"/>
      <c r="BN657" s="167"/>
      <c r="BO657" s="251"/>
      <c r="BP657" s="250"/>
      <c r="BQ657" s="250"/>
      <c r="BR657" s="250"/>
      <c r="BS657" s="250"/>
      <c r="BT657" s="250"/>
      <c r="BU657" s="250"/>
      <c r="BY657" s="250"/>
    </row>
    <row r="658" spans="3:78" ht="11.25" customHeight="1">
      <c r="C658" s="97" t="s">
        <v>1240</v>
      </c>
      <c r="D658" s="366" t="s">
        <v>1400</v>
      </c>
      <c r="E658" s="369" t="s">
        <v>199</v>
      </c>
      <c r="F658" s="405" t="s">
        <v>209</v>
      </c>
      <c r="G658" s="375" t="s">
        <v>1419</v>
      </c>
      <c r="H658" s="378" t="s">
        <v>715</v>
      </c>
      <c r="I658" s="381" t="s">
        <v>715</v>
      </c>
      <c r="J658" s="381" t="s">
        <v>716</v>
      </c>
      <c r="K658" s="384">
        <v>1</v>
      </c>
      <c r="L658" s="387" t="s">
        <v>5</v>
      </c>
      <c r="M658" s="390">
        <v>0</v>
      </c>
      <c r="N658" s="163"/>
      <c r="O658" s="161"/>
      <c r="P658" s="161"/>
      <c r="Q658" s="161"/>
      <c r="R658" s="161"/>
      <c r="S658" s="161"/>
      <c r="T658" s="161"/>
      <c r="U658" s="161"/>
      <c r="V658" s="161"/>
      <c r="W658" s="161"/>
      <c r="X658" s="161"/>
      <c r="Y658" s="161"/>
      <c r="Z658" s="161"/>
      <c r="AA658" s="161"/>
      <c r="AB658" s="161"/>
      <c r="AC658" s="161"/>
      <c r="AD658" s="161"/>
      <c r="AE658" s="161"/>
      <c r="AF658" s="161"/>
      <c r="AG658" s="161"/>
      <c r="AH658" s="161"/>
      <c r="AI658" s="161"/>
      <c r="AJ658" s="161"/>
      <c r="AK658" s="161"/>
      <c r="AL658" s="161"/>
      <c r="AM658" s="161"/>
      <c r="AN658" s="161"/>
      <c r="AO658" s="161"/>
      <c r="AP658" s="161"/>
      <c r="AQ658" s="161"/>
      <c r="AR658" s="161"/>
      <c r="AS658" s="161"/>
      <c r="AT658" s="161"/>
      <c r="AU658" s="161"/>
      <c r="AV658" s="161"/>
      <c r="AW658" s="161"/>
      <c r="AX658" s="161"/>
      <c r="AY658" s="161"/>
      <c r="AZ658" s="161"/>
      <c r="BA658" s="161"/>
      <c r="BB658" s="161"/>
      <c r="BC658" s="161"/>
      <c r="BD658" s="161"/>
      <c r="BE658" s="161"/>
      <c r="BF658" s="161"/>
      <c r="BG658" s="161"/>
      <c r="BH658" s="161"/>
      <c r="BI658" s="161"/>
      <c r="BJ658" s="161"/>
      <c r="BK658" s="161"/>
      <c r="BL658" s="161"/>
      <c r="BM658" s="161"/>
      <c r="BN658" s="162"/>
      <c r="BO658" s="251"/>
      <c r="BP658" s="250"/>
      <c r="BQ658" s="250"/>
      <c r="BR658" s="250"/>
      <c r="BS658" s="250"/>
      <c r="BT658" s="250"/>
      <c r="BU658" s="250"/>
      <c r="BY658" s="250"/>
    </row>
    <row r="659" spans="3:78" ht="11.25" customHeight="1">
      <c r="C659" s="306"/>
      <c r="D659" s="367"/>
      <c r="E659" s="370"/>
      <c r="F659" s="406"/>
      <c r="G659" s="376"/>
      <c r="H659" s="379"/>
      <c r="I659" s="382"/>
      <c r="J659" s="382"/>
      <c r="K659" s="385"/>
      <c r="L659" s="388"/>
      <c r="M659" s="391"/>
      <c r="N659" s="393"/>
      <c r="O659" s="396">
        <v>1</v>
      </c>
      <c r="P659" s="399" t="s">
        <v>1297</v>
      </c>
      <c r="Q659" s="402"/>
      <c r="R659" s="361" t="s">
        <v>154</v>
      </c>
      <c r="S659" s="361" t="s">
        <v>154</v>
      </c>
      <c r="T659" s="361" t="s">
        <v>154</v>
      </c>
      <c r="U659" s="361" t="s">
        <v>154</v>
      </c>
      <c r="V659" s="361" t="s">
        <v>154</v>
      </c>
      <c r="W659" s="361" t="s">
        <v>154</v>
      </c>
      <c r="X659" s="361" t="s">
        <v>154</v>
      </c>
      <c r="Y659" s="361" t="s">
        <v>154</v>
      </c>
      <c r="Z659" s="361" t="s">
        <v>154</v>
      </c>
      <c r="AA659" s="361" t="s">
        <v>154</v>
      </c>
      <c r="AB659" s="361" t="s">
        <v>154</v>
      </c>
      <c r="AC659" s="361" t="s">
        <v>154</v>
      </c>
      <c r="AD659" s="361" t="s">
        <v>154</v>
      </c>
      <c r="AE659" s="209"/>
      <c r="AF659" s="220">
        <v>0</v>
      </c>
      <c r="AG659" s="219" t="s">
        <v>308</v>
      </c>
      <c r="AH659" s="219"/>
      <c r="AI659" s="219"/>
      <c r="AJ659" s="219"/>
      <c r="AK659" s="219"/>
      <c r="AL659" s="219"/>
      <c r="AM659" s="219"/>
      <c r="AN659" s="219"/>
      <c r="AO659" s="219"/>
      <c r="AP659" s="164"/>
      <c r="AQ659" s="164"/>
      <c r="AR659" s="164"/>
      <c r="AS659" s="164"/>
      <c r="AT659" s="164"/>
      <c r="AU659" s="164"/>
      <c r="AV659" s="164"/>
      <c r="AW659" s="164"/>
      <c r="AX659" s="164"/>
      <c r="AY659" s="164"/>
      <c r="AZ659" s="164"/>
      <c r="BA659" s="164"/>
      <c r="BB659" s="164"/>
      <c r="BC659" s="164"/>
      <c r="BD659" s="164"/>
      <c r="BE659" s="164"/>
      <c r="BF659" s="164"/>
      <c r="BG659" s="164"/>
      <c r="BH659" s="164"/>
      <c r="BI659" s="164"/>
      <c r="BJ659" s="164"/>
      <c r="BK659" s="164"/>
      <c r="BL659" s="164"/>
      <c r="BM659" s="164"/>
      <c r="BN659" s="165"/>
      <c r="BO659" s="251"/>
      <c r="BP659" s="364" t="s">
        <v>1298</v>
      </c>
      <c r="BQ659" s="364" t="s">
        <v>1298</v>
      </c>
      <c r="BR659" s="364" t="s">
        <v>1298</v>
      </c>
      <c r="BS659" s="250"/>
      <c r="BT659" s="364" t="s">
        <v>1298</v>
      </c>
      <c r="BU659" s="364" t="s">
        <v>1298</v>
      </c>
      <c r="BV659" s="364" t="s">
        <v>1298</v>
      </c>
      <c r="BW659" s="364" t="s">
        <v>1298</v>
      </c>
      <c r="BX659" s="364" t="s">
        <v>1298</v>
      </c>
      <c r="BY659" s="250"/>
    </row>
    <row r="660" spans="3:78" ht="14.25">
      <c r="C660" s="306"/>
      <c r="D660" s="367"/>
      <c r="E660" s="370"/>
      <c r="F660" s="406"/>
      <c r="G660" s="376"/>
      <c r="H660" s="379"/>
      <c r="I660" s="382"/>
      <c r="J660" s="382"/>
      <c r="K660" s="385"/>
      <c r="L660" s="388"/>
      <c r="M660" s="391"/>
      <c r="N660" s="394"/>
      <c r="O660" s="397"/>
      <c r="P660" s="400"/>
      <c r="Q660" s="403"/>
      <c r="R660" s="362"/>
      <c r="S660" s="362"/>
      <c r="T660" s="362"/>
      <c r="U660" s="362"/>
      <c r="V660" s="362"/>
      <c r="W660" s="362"/>
      <c r="X660" s="362"/>
      <c r="Y660" s="362"/>
      <c r="Z660" s="362"/>
      <c r="AA660" s="362"/>
      <c r="AB660" s="362"/>
      <c r="AC660" s="362"/>
      <c r="AD660" s="362"/>
      <c r="AE660" s="193"/>
      <c r="AF660" s="217" t="s">
        <v>268</v>
      </c>
      <c r="AG660" s="158" t="s">
        <v>221</v>
      </c>
      <c r="AH660" s="300" t="s">
        <v>19</v>
      </c>
      <c r="AI660" s="301" t="s">
        <v>154</v>
      </c>
      <c r="AJ660" s="221"/>
      <c r="AK660" s="221"/>
      <c r="AL660" s="221"/>
      <c r="AM660" s="221"/>
      <c r="AN660" s="221"/>
      <c r="AO660" s="221"/>
      <c r="AP660" s="302" t="s">
        <v>19</v>
      </c>
      <c r="AQ660" s="195">
        <f>SUM(AT660,AW660,AZ660,BC660,BF660,BI660,BL660)</f>
        <v>1526.0171065632917</v>
      </c>
      <c r="AR660" s="197">
        <f>SUM(AT660,AX660,BA660,BD660,BG660,BJ660,BM660)</f>
        <v>0</v>
      </c>
      <c r="AS660" s="195">
        <f>AQ660-AR660</f>
        <v>1526.0171065632917</v>
      </c>
      <c r="AT660" s="312"/>
      <c r="AU660" s="312"/>
      <c r="AV660" s="244"/>
      <c r="AW660" s="159"/>
      <c r="AX660" s="312"/>
      <c r="AY660" s="194">
        <f>AW660-AX660</f>
        <v>0</v>
      </c>
      <c r="AZ660" s="160"/>
      <c r="BA660" s="312"/>
      <c r="BB660" s="194">
        <f>AZ660-BA660</f>
        <v>0</v>
      </c>
      <c r="BC660" s="159">
        <v>1526.0171065632917</v>
      </c>
      <c r="BD660" s="312"/>
      <c r="BE660" s="194">
        <f>BC660-BD660</f>
        <v>1526.0171065632917</v>
      </c>
      <c r="BF660" s="159"/>
      <c r="BG660" s="244"/>
      <c r="BH660" s="194">
        <f>BF660-BG660</f>
        <v>0</v>
      </c>
      <c r="BI660" s="159"/>
      <c r="BJ660" s="244"/>
      <c r="BK660" s="194">
        <f>BI660-BJ660</f>
        <v>0</v>
      </c>
      <c r="BL660" s="312"/>
      <c r="BM660" s="312"/>
      <c r="BN660" s="195">
        <f>BL660-BM660</f>
        <v>0</v>
      </c>
      <c r="BO660" s="251">
        <v>0</v>
      </c>
      <c r="BP660" s="364"/>
      <c r="BQ660" s="364"/>
      <c r="BR660" s="364"/>
      <c r="BS660" s="249" t="str">
        <f>AG660 &amp; BO660</f>
        <v>Амортизационные отчисления0</v>
      </c>
      <c r="BT660" s="364"/>
      <c r="BU660" s="364"/>
      <c r="BV660" s="364"/>
      <c r="BW660" s="364"/>
      <c r="BX660" s="364"/>
      <c r="BY660" s="249" t="str">
        <f>AG660&amp;AH660</f>
        <v>Амортизационные отчислениянет</v>
      </c>
      <c r="BZ660" s="250"/>
    </row>
    <row r="661" spans="3:78" ht="14.25">
      <c r="C661" s="97"/>
      <c r="D661" s="367"/>
      <c r="E661" s="370"/>
      <c r="F661" s="406"/>
      <c r="G661" s="376"/>
      <c r="H661" s="379"/>
      <c r="I661" s="382"/>
      <c r="J661" s="382"/>
      <c r="K661" s="385"/>
      <c r="L661" s="388"/>
      <c r="M661" s="391"/>
      <c r="N661" s="394"/>
      <c r="O661" s="397"/>
      <c r="P661" s="400"/>
      <c r="Q661" s="403"/>
      <c r="R661" s="362"/>
      <c r="S661" s="362"/>
      <c r="T661" s="362"/>
      <c r="U661" s="362"/>
      <c r="V661" s="362"/>
      <c r="W661" s="362"/>
      <c r="X661" s="362"/>
      <c r="Y661" s="362"/>
      <c r="Z661" s="362"/>
      <c r="AA661" s="362"/>
      <c r="AB661" s="362"/>
      <c r="AC661" s="362"/>
      <c r="AD661" s="362"/>
      <c r="AE661" s="322" t="s">
        <v>1240</v>
      </c>
      <c r="AF661" s="217" t="s">
        <v>118</v>
      </c>
      <c r="AG661" s="196" t="s">
        <v>223</v>
      </c>
      <c r="AH661" s="302" t="s">
        <v>19</v>
      </c>
      <c r="AI661" s="301" t="s">
        <v>154</v>
      </c>
      <c r="AJ661" s="221"/>
      <c r="AK661" s="221"/>
      <c r="AL661" s="221"/>
      <c r="AM661" s="221"/>
      <c r="AN661" s="221"/>
      <c r="AO661" s="221"/>
      <c r="AP661" s="302" t="s">
        <v>19</v>
      </c>
      <c r="AQ661" s="195">
        <f>SUM(AT661,AW661,AZ661,BC661,BF661,BI661,BL661)</f>
        <v>305.20342131265829</v>
      </c>
      <c r="AR661" s="197">
        <f>SUM(AT661,AX661,BA661,BD661,BG661,BJ661,BM661)</f>
        <v>0</v>
      </c>
      <c r="AS661" s="195">
        <f>AQ661-AR661</f>
        <v>305.20342131265829</v>
      </c>
      <c r="AT661" s="315"/>
      <c r="AU661" s="315"/>
      <c r="AV661" s="241"/>
      <c r="AW661" s="198"/>
      <c r="AX661" s="313"/>
      <c r="AY661" s="199">
        <f>AW661-AX661</f>
        <v>0</v>
      </c>
      <c r="AZ661" s="173"/>
      <c r="BA661" s="313"/>
      <c r="BB661" s="199">
        <f>AZ661-BA661</f>
        <v>0</v>
      </c>
      <c r="BC661" s="198">
        <f>1831.22052787595-BC660</f>
        <v>305.20342131265829</v>
      </c>
      <c r="BD661" s="313"/>
      <c r="BE661" s="199">
        <f>BC661-BD661</f>
        <v>305.20342131265829</v>
      </c>
      <c r="BF661" s="198"/>
      <c r="BG661" s="241"/>
      <c r="BH661" s="199">
        <f>BF661-BG661</f>
        <v>0</v>
      </c>
      <c r="BI661" s="198"/>
      <c r="BJ661" s="241"/>
      <c r="BK661" s="199">
        <f>BI661-BJ661</f>
        <v>0</v>
      </c>
      <c r="BL661" s="313"/>
      <c r="BM661" s="313"/>
      <c r="BN661" s="195">
        <f>BL661-BM661</f>
        <v>0</v>
      </c>
      <c r="BO661" s="251">
        <v>0</v>
      </c>
      <c r="BP661" s="364"/>
      <c r="BQ661" s="364"/>
      <c r="BR661" s="364"/>
      <c r="BS661" s="249" t="str">
        <f>AG661 &amp; BO661</f>
        <v>Прочие собственные средства0</v>
      </c>
      <c r="BT661" s="364"/>
      <c r="BU661" s="364"/>
      <c r="BV661" s="364"/>
      <c r="BW661" s="364"/>
      <c r="BX661" s="364"/>
      <c r="BY661" s="249" t="str">
        <f>AG661&amp;AH661</f>
        <v>Прочие собственные средстванет</v>
      </c>
      <c r="BZ661" s="250"/>
    </row>
    <row r="662" spans="3:78" ht="15" customHeight="1">
      <c r="C662" s="306"/>
      <c r="D662" s="367"/>
      <c r="E662" s="370"/>
      <c r="F662" s="406"/>
      <c r="G662" s="376"/>
      <c r="H662" s="379"/>
      <c r="I662" s="382"/>
      <c r="J662" s="382"/>
      <c r="K662" s="385"/>
      <c r="L662" s="388"/>
      <c r="M662" s="391"/>
      <c r="N662" s="395"/>
      <c r="O662" s="398"/>
      <c r="P662" s="401"/>
      <c r="Q662" s="404"/>
      <c r="R662" s="363"/>
      <c r="S662" s="363"/>
      <c r="T662" s="363"/>
      <c r="U662" s="363"/>
      <c r="V662" s="363"/>
      <c r="W662" s="363"/>
      <c r="X662" s="363"/>
      <c r="Y662" s="363"/>
      <c r="Z662" s="363"/>
      <c r="AA662" s="363"/>
      <c r="AB662" s="363"/>
      <c r="AC662" s="363"/>
      <c r="AD662" s="363"/>
      <c r="AE662" s="279" t="s">
        <v>379</v>
      </c>
      <c r="AF662" s="203"/>
      <c r="AG662" s="223" t="s">
        <v>24</v>
      </c>
      <c r="AH662" s="223"/>
      <c r="AI662" s="223"/>
      <c r="AJ662" s="223"/>
      <c r="AK662" s="223"/>
      <c r="AL662" s="223"/>
      <c r="AM662" s="223"/>
      <c r="AN662" s="223"/>
      <c r="AO662" s="223"/>
      <c r="AP662" s="168"/>
      <c r="AQ662" s="169"/>
      <c r="AR662" s="169"/>
      <c r="AS662" s="169"/>
      <c r="AT662" s="169"/>
      <c r="AU662" s="169"/>
      <c r="AV662" s="169"/>
      <c r="AW662" s="169"/>
      <c r="AX662" s="169"/>
      <c r="AY662" s="169"/>
      <c r="AZ662" s="169"/>
      <c r="BA662" s="169"/>
      <c r="BB662" s="169"/>
      <c r="BC662" s="169"/>
      <c r="BD662" s="169"/>
      <c r="BE662" s="169"/>
      <c r="BF662" s="169"/>
      <c r="BG662" s="169"/>
      <c r="BH662" s="169"/>
      <c r="BI662" s="169"/>
      <c r="BJ662" s="169"/>
      <c r="BK662" s="169"/>
      <c r="BL662" s="169"/>
      <c r="BM662" s="169"/>
      <c r="BN662" s="170"/>
      <c r="BO662" s="251"/>
      <c r="BP662" s="364"/>
      <c r="BQ662" s="364"/>
      <c r="BR662" s="364"/>
      <c r="BS662" s="250"/>
      <c r="BT662" s="364"/>
      <c r="BU662" s="364"/>
      <c r="BV662" s="364"/>
      <c r="BW662" s="364"/>
      <c r="BX662" s="364"/>
      <c r="BY662" s="250"/>
    </row>
    <row r="663" spans="3:78" ht="15" customHeight="1" thickBot="1">
      <c r="C663" s="307"/>
      <c r="D663" s="368"/>
      <c r="E663" s="371"/>
      <c r="F663" s="407"/>
      <c r="G663" s="377"/>
      <c r="H663" s="380"/>
      <c r="I663" s="383"/>
      <c r="J663" s="383"/>
      <c r="K663" s="386"/>
      <c r="L663" s="389"/>
      <c r="M663" s="392"/>
      <c r="N663" s="280" t="s">
        <v>380</v>
      </c>
      <c r="O663" s="212"/>
      <c r="P663" s="365" t="s">
        <v>154</v>
      </c>
      <c r="Q663" s="365"/>
      <c r="R663" s="171"/>
      <c r="S663" s="171"/>
      <c r="T663" s="166"/>
      <c r="U663" s="166"/>
      <c r="V663" s="166"/>
      <c r="W663" s="166"/>
      <c r="X663" s="166"/>
      <c r="Y663" s="166"/>
      <c r="Z663" s="166"/>
      <c r="AA663" s="166"/>
      <c r="AB663" s="166"/>
      <c r="AC663" s="166"/>
      <c r="AD663" s="166"/>
      <c r="AE663" s="166"/>
      <c r="AF663" s="166"/>
      <c r="AG663" s="166"/>
      <c r="AH663" s="166"/>
      <c r="AI663" s="166"/>
      <c r="AJ663" s="166"/>
      <c r="AK663" s="166"/>
      <c r="AL663" s="166"/>
      <c r="AM663" s="166"/>
      <c r="AN663" s="166"/>
      <c r="AO663" s="166"/>
      <c r="AP663" s="166"/>
      <c r="AQ663" s="166"/>
      <c r="AR663" s="166"/>
      <c r="AS663" s="166"/>
      <c r="AT663" s="166"/>
      <c r="AU663" s="166"/>
      <c r="AV663" s="166"/>
      <c r="AW663" s="166"/>
      <c r="AX663" s="166"/>
      <c r="AY663" s="166"/>
      <c r="AZ663" s="166"/>
      <c r="BA663" s="166"/>
      <c r="BB663" s="166"/>
      <c r="BC663" s="166"/>
      <c r="BD663" s="166"/>
      <c r="BE663" s="166"/>
      <c r="BF663" s="166"/>
      <c r="BG663" s="166"/>
      <c r="BH663" s="166"/>
      <c r="BI663" s="166"/>
      <c r="BJ663" s="166"/>
      <c r="BK663" s="166"/>
      <c r="BL663" s="166"/>
      <c r="BM663" s="166"/>
      <c r="BN663" s="167"/>
      <c r="BO663" s="251"/>
      <c r="BP663" s="250"/>
      <c r="BQ663" s="250"/>
      <c r="BR663" s="250"/>
      <c r="BS663" s="250"/>
      <c r="BT663" s="250"/>
      <c r="BU663" s="250"/>
      <c r="BY663" s="250"/>
    </row>
    <row r="664" spans="3:78" ht="11.25" customHeight="1">
      <c r="C664" s="97" t="s">
        <v>1240</v>
      </c>
      <c r="D664" s="366" t="s">
        <v>1401</v>
      </c>
      <c r="E664" s="369" t="s">
        <v>199</v>
      </c>
      <c r="F664" s="405" t="s">
        <v>209</v>
      </c>
      <c r="G664" s="375" t="s">
        <v>1420</v>
      </c>
      <c r="H664" s="378" t="s">
        <v>715</v>
      </c>
      <c r="I664" s="381" t="s">
        <v>715</v>
      </c>
      <c r="J664" s="381" t="s">
        <v>716</v>
      </c>
      <c r="K664" s="384">
        <v>1</v>
      </c>
      <c r="L664" s="387" t="s">
        <v>4</v>
      </c>
      <c r="M664" s="390">
        <v>0</v>
      </c>
      <c r="N664" s="163"/>
      <c r="O664" s="161"/>
      <c r="P664" s="161"/>
      <c r="Q664" s="161"/>
      <c r="R664" s="161"/>
      <c r="S664" s="161"/>
      <c r="T664" s="161"/>
      <c r="U664" s="161"/>
      <c r="V664" s="161"/>
      <c r="W664" s="161"/>
      <c r="X664" s="161"/>
      <c r="Y664" s="161"/>
      <c r="Z664" s="161"/>
      <c r="AA664" s="161"/>
      <c r="AB664" s="161"/>
      <c r="AC664" s="161"/>
      <c r="AD664" s="161"/>
      <c r="AE664" s="161"/>
      <c r="AF664" s="161"/>
      <c r="AG664" s="161"/>
      <c r="AH664" s="161"/>
      <c r="AI664" s="161"/>
      <c r="AJ664" s="161"/>
      <c r="AK664" s="161"/>
      <c r="AL664" s="161"/>
      <c r="AM664" s="161"/>
      <c r="AN664" s="161"/>
      <c r="AO664" s="161"/>
      <c r="AP664" s="161"/>
      <c r="AQ664" s="161"/>
      <c r="AR664" s="161"/>
      <c r="AS664" s="161"/>
      <c r="AT664" s="161"/>
      <c r="AU664" s="161"/>
      <c r="AV664" s="161"/>
      <c r="AW664" s="161"/>
      <c r="AX664" s="161"/>
      <c r="AY664" s="161"/>
      <c r="AZ664" s="161"/>
      <c r="BA664" s="161"/>
      <c r="BB664" s="161"/>
      <c r="BC664" s="161"/>
      <c r="BD664" s="161"/>
      <c r="BE664" s="161"/>
      <c r="BF664" s="161"/>
      <c r="BG664" s="161"/>
      <c r="BH664" s="161"/>
      <c r="BI664" s="161"/>
      <c r="BJ664" s="161"/>
      <c r="BK664" s="161"/>
      <c r="BL664" s="161"/>
      <c r="BM664" s="161"/>
      <c r="BN664" s="162"/>
      <c r="BO664" s="251"/>
      <c r="BP664" s="250"/>
      <c r="BQ664" s="250"/>
      <c r="BR664" s="250"/>
      <c r="BS664" s="250"/>
      <c r="BT664" s="250"/>
      <c r="BU664" s="250"/>
      <c r="BY664" s="250"/>
    </row>
    <row r="665" spans="3:78" ht="11.25" customHeight="1">
      <c r="C665" s="306"/>
      <c r="D665" s="367"/>
      <c r="E665" s="370"/>
      <c r="F665" s="406"/>
      <c r="G665" s="376"/>
      <c r="H665" s="379"/>
      <c r="I665" s="382"/>
      <c r="J665" s="382"/>
      <c r="K665" s="385"/>
      <c r="L665" s="388"/>
      <c r="M665" s="391"/>
      <c r="N665" s="393"/>
      <c r="O665" s="396">
        <v>1</v>
      </c>
      <c r="P665" s="399" t="s">
        <v>1297</v>
      </c>
      <c r="Q665" s="402"/>
      <c r="R665" s="361" t="s">
        <v>154</v>
      </c>
      <c r="S665" s="361" t="s">
        <v>154</v>
      </c>
      <c r="T665" s="361" t="s">
        <v>154</v>
      </c>
      <c r="U665" s="361" t="s">
        <v>154</v>
      </c>
      <c r="V665" s="361" t="s">
        <v>154</v>
      </c>
      <c r="W665" s="361" t="s">
        <v>154</v>
      </c>
      <c r="X665" s="361" t="s">
        <v>154</v>
      </c>
      <c r="Y665" s="361" t="s">
        <v>154</v>
      </c>
      <c r="Z665" s="361" t="s">
        <v>154</v>
      </c>
      <c r="AA665" s="361" t="s">
        <v>154</v>
      </c>
      <c r="AB665" s="361" t="s">
        <v>154</v>
      </c>
      <c r="AC665" s="361" t="s">
        <v>154</v>
      </c>
      <c r="AD665" s="361" t="s">
        <v>154</v>
      </c>
      <c r="AE665" s="209"/>
      <c r="AF665" s="220">
        <v>0</v>
      </c>
      <c r="AG665" s="219" t="s">
        <v>308</v>
      </c>
      <c r="AH665" s="219"/>
      <c r="AI665" s="219"/>
      <c r="AJ665" s="219"/>
      <c r="AK665" s="219"/>
      <c r="AL665" s="219"/>
      <c r="AM665" s="219"/>
      <c r="AN665" s="219"/>
      <c r="AO665" s="219"/>
      <c r="AP665" s="164"/>
      <c r="AQ665" s="164"/>
      <c r="AR665" s="164"/>
      <c r="AS665" s="164"/>
      <c r="AT665" s="164"/>
      <c r="AU665" s="164"/>
      <c r="AV665" s="164"/>
      <c r="AW665" s="164"/>
      <c r="AX665" s="164"/>
      <c r="AY665" s="164"/>
      <c r="AZ665" s="164"/>
      <c r="BA665" s="164"/>
      <c r="BB665" s="164"/>
      <c r="BC665" s="164"/>
      <c r="BD665" s="164"/>
      <c r="BE665" s="164"/>
      <c r="BF665" s="164"/>
      <c r="BG665" s="164"/>
      <c r="BH665" s="164"/>
      <c r="BI665" s="164"/>
      <c r="BJ665" s="164"/>
      <c r="BK665" s="164"/>
      <c r="BL665" s="164"/>
      <c r="BM665" s="164"/>
      <c r="BN665" s="165"/>
      <c r="BO665" s="251"/>
      <c r="BP665" s="364" t="s">
        <v>1298</v>
      </c>
      <c r="BQ665" s="364" t="s">
        <v>1298</v>
      </c>
      <c r="BR665" s="364" t="s">
        <v>1298</v>
      </c>
      <c r="BS665" s="250"/>
      <c r="BT665" s="364" t="s">
        <v>1298</v>
      </c>
      <c r="BU665" s="364" t="s">
        <v>1298</v>
      </c>
      <c r="BV665" s="364" t="s">
        <v>1298</v>
      </c>
      <c r="BW665" s="364" t="s">
        <v>1298</v>
      </c>
      <c r="BX665" s="364" t="s">
        <v>1298</v>
      </c>
      <c r="BY665" s="250"/>
    </row>
    <row r="666" spans="3:78" ht="14.25">
      <c r="C666" s="306"/>
      <c r="D666" s="367"/>
      <c r="E666" s="370"/>
      <c r="F666" s="406"/>
      <c r="G666" s="376"/>
      <c r="H666" s="379"/>
      <c r="I666" s="382"/>
      <c r="J666" s="382"/>
      <c r="K666" s="385"/>
      <c r="L666" s="388"/>
      <c r="M666" s="391"/>
      <c r="N666" s="394"/>
      <c r="O666" s="397"/>
      <c r="P666" s="400"/>
      <c r="Q666" s="403"/>
      <c r="R666" s="362"/>
      <c r="S666" s="362"/>
      <c r="T666" s="362"/>
      <c r="U666" s="362"/>
      <c r="V666" s="362"/>
      <c r="W666" s="362"/>
      <c r="X666" s="362"/>
      <c r="Y666" s="362"/>
      <c r="Z666" s="362"/>
      <c r="AA666" s="362"/>
      <c r="AB666" s="362"/>
      <c r="AC666" s="362"/>
      <c r="AD666" s="362"/>
      <c r="AE666" s="193"/>
      <c r="AF666" s="217" t="s">
        <v>268</v>
      </c>
      <c r="AG666" s="158" t="s">
        <v>221</v>
      </c>
      <c r="AH666" s="300" t="s">
        <v>19</v>
      </c>
      <c r="AI666" s="301" t="s">
        <v>154</v>
      </c>
      <c r="AJ666" s="221"/>
      <c r="AK666" s="221"/>
      <c r="AL666" s="221"/>
      <c r="AM666" s="221"/>
      <c r="AN666" s="221"/>
      <c r="AO666" s="221"/>
      <c r="AP666" s="302" t="s">
        <v>19</v>
      </c>
      <c r="AQ666" s="195">
        <f>SUM(AT666,AW666,AZ666,BC666,BF666,BI666,BL666)</f>
        <v>65758.439938161246</v>
      </c>
      <c r="AR666" s="197">
        <f>SUM(AT666,AX666,BA666,BD666,BG666,BJ666,BM666)</f>
        <v>0</v>
      </c>
      <c r="AS666" s="195">
        <f>AQ666-AR666</f>
        <v>65758.439938161246</v>
      </c>
      <c r="AT666" s="312"/>
      <c r="AU666" s="312"/>
      <c r="AV666" s="244"/>
      <c r="AW666" s="159"/>
      <c r="AX666" s="312"/>
      <c r="AY666" s="194">
        <f>AW666-AX666</f>
        <v>0</v>
      </c>
      <c r="AZ666" s="160">
        <v>65758.439938161246</v>
      </c>
      <c r="BA666" s="312"/>
      <c r="BB666" s="194">
        <f>AZ666-BA666</f>
        <v>65758.439938161246</v>
      </c>
      <c r="BC666" s="159"/>
      <c r="BD666" s="312"/>
      <c r="BE666" s="194">
        <f>BC666-BD666</f>
        <v>0</v>
      </c>
      <c r="BF666" s="159"/>
      <c r="BG666" s="244"/>
      <c r="BH666" s="194">
        <f>BF666-BG666</f>
        <v>0</v>
      </c>
      <c r="BI666" s="159"/>
      <c r="BJ666" s="244"/>
      <c r="BK666" s="194">
        <f>BI666-BJ666</f>
        <v>0</v>
      </c>
      <c r="BL666" s="312"/>
      <c r="BM666" s="312"/>
      <c r="BN666" s="195">
        <f>BL666-BM666</f>
        <v>0</v>
      </c>
      <c r="BO666" s="251">
        <v>0</v>
      </c>
      <c r="BP666" s="364"/>
      <c r="BQ666" s="364"/>
      <c r="BR666" s="364"/>
      <c r="BS666" s="249" t="str">
        <f>AG666 &amp; BO666</f>
        <v>Амортизационные отчисления0</v>
      </c>
      <c r="BT666" s="364"/>
      <c r="BU666" s="364"/>
      <c r="BV666" s="364"/>
      <c r="BW666" s="364"/>
      <c r="BX666" s="364"/>
      <c r="BY666" s="249" t="str">
        <f>AG666&amp;AH666</f>
        <v>Амортизационные отчислениянет</v>
      </c>
      <c r="BZ666" s="250"/>
    </row>
    <row r="667" spans="3:78" ht="14.25">
      <c r="C667" s="97"/>
      <c r="D667" s="367"/>
      <c r="E667" s="370"/>
      <c r="F667" s="406"/>
      <c r="G667" s="376"/>
      <c r="H667" s="379"/>
      <c r="I667" s="382"/>
      <c r="J667" s="382"/>
      <c r="K667" s="385"/>
      <c r="L667" s="388"/>
      <c r="M667" s="391"/>
      <c r="N667" s="394"/>
      <c r="O667" s="397"/>
      <c r="P667" s="400"/>
      <c r="Q667" s="403"/>
      <c r="R667" s="362"/>
      <c r="S667" s="362"/>
      <c r="T667" s="362"/>
      <c r="U667" s="362"/>
      <c r="V667" s="362"/>
      <c r="W667" s="362"/>
      <c r="X667" s="362"/>
      <c r="Y667" s="362"/>
      <c r="Z667" s="362"/>
      <c r="AA667" s="362"/>
      <c r="AB667" s="362"/>
      <c r="AC667" s="362"/>
      <c r="AD667" s="362"/>
      <c r="AE667" s="322" t="s">
        <v>1240</v>
      </c>
      <c r="AF667" s="217" t="s">
        <v>118</v>
      </c>
      <c r="AG667" s="196" t="s">
        <v>223</v>
      </c>
      <c r="AH667" s="302" t="s">
        <v>19</v>
      </c>
      <c r="AI667" s="301" t="s">
        <v>154</v>
      </c>
      <c r="AJ667" s="221"/>
      <c r="AK667" s="221"/>
      <c r="AL667" s="221"/>
      <c r="AM667" s="221"/>
      <c r="AN667" s="221"/>
      <c r="AO667" s="221"/>
      <c r="AP667" s="302" t="s">
        <v>19</v>
      </c>
      <c r="AQ667" s="195">
        <f>SUM(AT667,AW667,AZ667,BC667,BF667,BI667,BL667)</f>
        <v>13151.687987632249</v>
      </c>
      <c r="AR667" s="197">
        <f>SUM(AT667,AX667,BA667,BD667,BG667,BJ667,BM667)</f>
        <v>0</v>
      </c>
      <c r="AS667" s="195">
        <f>AQ667-AR667</f>
        <v>13151.687987632249</v>
      </c>
      <c r="AT667" s="315"/>
      <c r="AU667" s="315"/>
      <c r="AV667" s="241"/>
      <c r="AW667" s="198"/>
      <c r="AX667" s="313"/>
      <c r="AY667" s="199">
        <f>AW667-AX667</f>
        <v>0</v>
      </c>
      <c r="AZ667" s="173">
        <f>78910.1279257935-AZ666</f>
        <v>13151.687987632249</v>
      </c>
      <c r="BA667" s="313"/>
      <c r="BB667" s="199">
        <f>AZ667-BA667</f>
        <v>13151.687987632249</v>
      </c>
      <c r="BC667" s="198"/>
      <c r="BD667" s="313"/>
      <c r="BE667" s="199">
        <f>BC667-BD667</f>
        <v>0</v>
      </c>
      <c r="BF667" s="198"/>
      <c r="BG667" s="241"/>
      <c r="BH667" s="199">
        <f>BF667-BG667</f>
        <v>0</v>
      </c>
      <c r="BI667" s="198"/>
      <c r="BJ667" s="241"/>
      <c r="BK667" s="199">
        <f>BI667-BJ667</f>
        <v>0</v>
      </c>
      <c r="BL667" s="313"/>
      <c r="BM667" s="313"/>
      <c r="BN667" s="195">
        <f>BL667-BM667</f>
        <v>0</v>
      </c>
      <c r="BO667" s="251">
        <v>0</v>
      </c>
      <c r="BP667" s="364"/>
      <c r="BQ667" s="364"/>
      <c r="BR667" s="364"/>
      <c r="BS667" s="249" t="str">
        <f>AG667 &amp; BO667</f>
        <v>Прочие собственные средства0</v>
      </c>
      <c r="BT667" s="364"/>
      <c r="BU667" s="364"/>
      <c r="BV667" s="364"/>
      <c r="BW667" s="364"/>
      <c r="BX667" s="364"/>
      <c r="BY667" s="249" t="str">
        <f>AG667&amp;AH667</f>
        <v>Прочие собственные средстванет</v>
      </c>
      <c r="BZ667" s="250"/>
    </row>
    <row r="668" spans="3:78" ht="15" customHeight="1">
      <c r="C668" s="306"/>
      <c r="D668" s="367"/>
      <c r="E668" s="370"/>
      <c r="F668" s="406"/>
      <c r="G668" s="376"/>
      <c r="H668" s="379"/>
      <c r="I668" s="382"/>
      <c r="J668" s="382"/>
      <c r="K668" s="385"/>
      <c r="L668" s="388"/>
      <c r="M668" s="391"/>
      <c r="N668" s="395"/>
      <c r="O668" s="398"/>
      <c r="P668" s="401"/>
      <c r="Q668" s="404"/>
      <c r="R668" s="363"/>
      <c r="S668" s="363"/>
      <c r="T668" s="363"/>
      <c r="U668" s="363"/>
      <c r="V668" s="363"/>
      <c r="W668" s="363"/>
      <c r="X668" s="363"/>
      <c r="Y668" s="363"/>
      <c r="Z668" s="363"/>
      <c r="AA668" s="363"/>
      <c r="AB668" s="363"/>
      <c r="AC668" s="363"/>
      <c r="AD668" s="363"/>
      <c r="AE668" s="279" t="s">
        <v>379</v>
      </c>
      <c r="AF668" s="203"/>
      <c r="AG668" s="223" t="s">
        <v>24</v>
      </c>
      <c r="AH668" s="223"/>
      <c r="AI668" s="223"/>
      <c r="AJ668" s="223"/>
      <c r="AK668" s="223"/>
      <c r="AL668" s="223"/>
      <c r="AM668" s="223"/>
      <c r="AN668" s="223"/>
      <c r="AO668" s="223"/>
      <c r="AP668" s="168"/>
      <c r="AQ668" s="169"/>
      <c r="AR668" s="169"/>
      <c r="AS668" s="169"/>
      <c r="AT668" s="169"/>
      <c r="AU668" s="169"/>
      <c r="AV668" s="169"/>
      <c r="AW668" s="169"/>
      <c r="AX668" s="169"/>
      <c r="AY668" s="169"/>
      <c r="AZ668" s="169"/>
      <c r="BA668" s="169"/>
      <c r="BB668" s="169"/>
      <c r="BC668" s="169"/>
      <c r="BD668" s="169"/>
      <c r="BE668" s="169"/>
      <c r="BF668" s="169"/>
      <c r="BG668" s="169"/>
      <c r="BH668" s="169"/>
      <c r="BI668" s="169"/>
      <c r="BJ668" s="169"/>
      <c r="BK668" s="169"/>
      <c r="BL668" s="169"/>
      <c r="BM668" s="169"/>
      <c r="BN668" s="170"/>
      <c r="BO668" s="251"/>
      <c r="BP668" s="364"/>
      <c r="BQ668" s="364"/>
      <c r="BR668" s="364"/>
      <c r="BS668" s="250"/>
      <c r="BT668" s="364"/>
      <c r="BU668" s="364"/>
      <c r="BV668" s="364"/>
      <c r="BW668" s="364"/>
      <c r="BX668" s="364"/>
      <c r="BY668" s="250"/>
    </row>
    <row r="669" spans="3:78" ht="15" customHeight="1" thickBot="1">
      <c r="C669" s="307"/>
      <c r="D669" s="368"/>
      <c r="E669" s="371"/>
      <c r="F669" s="407"/>
      <c r="G669" s="377"/>
      <c r="H669" s="380"/>
      <c r="I669" s="383"/>
      <c r="J669" s="383"/>
      <c r="K669" s="386"/>
      <c r="L669" s="389"/>
      <c r="M669" s="392"/>
      <c r="N669" s="280" t="s">
        <v>380</v>
      </c>
      <c r="O669" s="212"/>
      <c r="P669" s="365" t="s">
        <v>154</v>
      </c>
      <c r="Q669" s="365"/>
      <c r="R669" s="171"/>
      <c r="S669" s="171"/>
      <c r="T669" s="166"/>
      <c r="U669" s="166"/>
      <c r="V669" s="166"/>
      <c r="W669" s="166"/>
      <c r="X669" s="166"/>
      <c r="Y669" s="166"/>
      <c r="Z669" s="166"/>
      <c r="AA669" s="166"/>
      <c r="AB669" s="166"/>
      <c r="AC669" s="166"/>
      <c r="AD669" s="166"/>
      <c r="AE669" s="166"/>
      <c r="AF669" s="166"/>
      <c r="AG669" s="166"/>
      <c r="AH669" s="166"/>
      <c r="AI669" s="166"/>
      <c r="AJ669" s="166"/>
      <c r="AK669" s="166"/>
      <c r="AL669" s="166"/>
      <c r="AM669" s="166"/>
      <c r="AN669" s="166"/>
      <c r="AO669" s="166"/>
      <c r="AP669" s="166"/>
      <c r="AQ669" s="166"/>
      <c r="AR669" s="166"/>
      <c r="AS669" s="166"/>
      <c r="AT669" s="166"/>
      <c r="AU669" s="166"/>
      <c r="AV669" s="166"/>
      <c r="AW669" s="166"/>
      <c r="AX669" s="166"/>
      <c r="AY669" s="166"/>
      <c r="AZ669" s="166"/>
      <c r="BA669" s="166"/>
      <c r="BB669" s="166"/>
      <c r="BC669" s="166"/>
      <c r="BD669" s="166"/>
      <c r="BE669" s="166"/>
      <c r="BF669" s="166"/>
      <c r="BG669" s="166"/>
      <c r="BH669" s="166"/>
      <c r="BI669" s="166"/>
      <c r="BJ669" s="166"/>
      <c r="BK669" s="166"/>
      <c r="BL669" s="166"/>
      <c r="BM669" s="166"/>
      <c r="BN669" s="167"/>
      <c r="BO669" s="251"/>
      <c r="BP669" s="250"/>
      <c r="BQ669" s="250"/>
      <c r="BR669" s="250"/>
      <c r="BS669" s="250"/>
      <c r="BT669" s="250"/>
      <c r="BU669" s="250"/>
      <c r="BY669" s="250"/>
    </row>
    <row r="670" spans="3:78" ht="11.25" customHeight="1">
      <c r="C670" s="97" t="s">
        <v>1240</v>
      </c>
      <c r="D670" s="366" t="s">
        <v>1402</v>
      </c>
      <c r="E670" s="369" t="s">
        <v>199</v>
      </c>
      <c r="F670" s="405" t="s">
        <v>209</v>
      </c>
      <c r="G670" s="375" t="s">
        <v>1421</v>
      </c>
      <c r="H670" s="378" t="s">
        <v>715</v>
      </c>
      <c r="I670" s="381" t="s">
        <v>715</v>
      </c>
      <c r="J670" s="381" t="s">
        <v>716</v>
      </c>
      <c r="K670" s="384">
        <v>1</v>
      </c>
      <c r="L670" s="387" t="s">
        <v>5</v>
      </c>
      <c r="M670" s="390">
        <v>0</v>
      </c>
      <c r="N670" s="163"/>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1"/>
      <c r="AK670" s="161"/>
      <c r="AL670" s="161"/>
      <c r="AM670" s="161"/>
      <c r="AN670" s="161"/>
      <c r="AO670" s="161"/>
      <c r="AP670" s="161"/>
      <c r="AQ670" s="161"/>
      <c r="AR670" s="161"/>
      <c r="AS670" s="161"/>
      <c r="AT670" s="161"/>
      <c r="AU670" s="161"/>
      <c r="AV670" s="161"/>
      <c r="AW670" s="161"/>
      <c r="AX670" s="161"/>
      <c r="AY670" s="161"/>
      <c r="AZ670" s="161"/>
      <c r="BA670" s="161"/>
      <c r="BB670" s="161"/>
      <c r="BC670" s="161"/>
      <c r="BD670" s="161"/>
      <c r="BE670" s="161"/>
      <c r="BF670" s="161"/>
      <c r="BG670" s="161"/>
      <c r="BH670" s="161"/>
      <c r="BI670" s="161"/>
      <c r="BJ670" s="161"/>
      <c r="BK670" s="161"/>
      <c r="BL670" s="161"/>
      <c r="BM670" s="161"/>
      <c r="BN670" s="162"/>
      <c r="BO670" s="251"/>
      <c r="BP670" s="250"/>
      <c r="BQ670" s="250"/>
      <c r="BR670" s="250"/>
      <c r="BS670" s="250"/>
      <c r="BT670" s="250"/>
      <c r="BU670" s="250"/>
      <c r="BY670" s="250"/>
    </row>
    <row r="671" spans="3:78" ht="11.25" customHeight="1">
      <c r="C671" s="306"/>
      <c r="D671" s="367"/>
      <c r="E671" s="370"/>
      <c r="F671" s="406"/>
      <c r="G671" s="376"/>
      <c r="H671" s="379"/>
      <c r="I671" s="382"/>
      <c r="J671" s="382"/>
      <c r="K671" s="385"/>
      <c r="L671" s="388"/>
      <c r="M671" s="391"/>
      <c r="N671" s="393"/>
      <c r="O671" s="396">
        <v>1</v>
      </c>
      <c r="P671" s="399" t="s">
        <v>1297</v>
      </c>
      <c r="Q671" s="402"/>
      <c r="R671" s="361" t="s">
        <v>154</v>
      </c>
      <c r="S671" s="361" t="s">
        <v>154</v>
      </c>
      <c r="T671" s="361" t="s">
        <v>154</v>
      </c>
      <c r="U671" s="361" t="s">
        <v>154</v>
      </c>
      <c r="V671" s="361" t="s">
        <v>154</v>
      </c>
      <c r="W671" s="361" t="s">
        <v>154</v>
      </c>
      <c r="X671" s="361" t="s">
        <v>154</v>
      </c>
      <c r="Y671" s="361" t="s">
        <v>154</v>
      </c>
      <c r="Z671" s="361" t="s">
        <v>154</v>
      </c>
      <c r="AA671" s="361" t="s">
        <v>154</v>
      </c>
      <c r="AB671" s="361" t="s">
        <v>154</v>
      </c>
      <c r="AC671" s="361" t="s">
        <v>154</v>
      </c>
      <c r="AD671" s="361" t="s">
        <v>154</v>
      </c>
      <c r="AE671" s="209"/>
      <c r="AF671" s="220">
        <v>0</v>
      </c>
      <c r="AG671" s="219" t="s">
        <v>308</v>
      </c>
      <c r="AH671" s="219"/>
      <c r="AI671" s="219"/>
      <c r="AJ671" s="219"/>
      <c r="AK671" s="219"/>
      <c r="AL671" s="219"/>
      <c r="AM671" s="219"/>
      <c r="AN671" s="219"/>
      <c r="AO671" s="219"/>
      <c r="AP671" s="164"/>
      <c r="AQ671" s="164"/>
      <c r="AR671" s="164"/>
      <c r="AS671" s="164"/>
      <c r="AT671" s="164"/>
      <c r="AU671" s="164"/>
      <c r="AV671" s="164"/>
      <c r="AW671" s="164"/>
      <c r="AX671" s="164"/>
      <c r="AY671" s="164"/>
      <c r="AZ671" s="164"/>
      <c r="BA671" s="164"/>
      <c r="BB671" s="164"/>
      <c r="BC671" s="164"/>
      <c r="BD671" s="164"/>
      <c r="BE671" s="164"/>
      <c r="BF671" s="164"/>
      <c r="BG671" s="164"/>
      <c r="BH671" s="164"/>
      <c r="BI671" s="164"/>
      <c r="BJ671" s="164"/>
      <c r="BK671" s="164"/>
      <c r="BL671" s="164"/>
      <c r="BM671" s="164"/>
      <c r="BN671" s="165"/>
      <c r="BO671" s="251"/>
      <c r="BP671" s="364" t="s">
        <v>1298</v>
      </c>
      <c r="BQ671" s="364" t="s">
        <v>1298</v>
      </c>
      <c r="BR671" s="364" t="s">
        <v>1298</v>
      </c>
      <c r="BS671" s="250"/>
      <c r="BT671" s="364" t="s">
        <v>1298</v>
      </c>
      <c r="BU671" s="364" t="s">
        <v>1298</v>
      </c>
      <c r="BV671" s="364" t="s">
        <v>1298</v>
      </c>
      <c r="BW671" s="364" t="s">
        <v>1298</v>
      </c>
      <c r="BX671" s="364" t="s">
        <v>1298</v>
      </c>
      <c r="BY671" s="250"/>
    </row>
    <row r="672" spans="3:78" ht="14.25">
      <c r="C672" s="306"/>
      <c r="D672" s="367"/>
      <c r="E672" s="370"/>
      <c r="F672" s="406"/>
      <c r="G672" s="376"/>
      <c r="H672" s="379"/>
      <c r="I672" s="382"/>
      <c r="J672" s="382"/>
      <c r="K672" s="385"/>
      <c r="L672" s="388"/>
      <c r="M672" s="391"/>
      <c r="N672" s="394"/>
      <c r="O672" s="397"/>
      <c r="P672" s="400"/>
      <c r="Q672" s="403"/>
      <c r="R672" s="362"/>
      <c r="S672" s="362"/>
      <c r="T672" s="362"/>
      <c r="U672" s="362"/>
      <c r="V672" s="362"/>
      <c r="W672" s="362"/>
      <c r="X672" s="362"/>
      <c r="Y672" s="362"/>
      <c r="Z672" s="362"/>
      <c r="AA672" s="362"/>
      <c r="AB672" s="362"/>
      <c r="AC672" s="362"/>
      <c r="AD672" s="362"/>
      <c r="AE672" s="193"/>
      <c r="AF672" s="217" t="s">
        <v>268</v>
      </c>
      <c r="AG672" s="158" t="s">
        <v>221</v>
      </c>
      <c r="AH672" s="300" t="s">
        <v>19</v>
      </c>
      <c r="AI672" s="301" t="s">
        <v>154</v>
      </c>
      <c r="AJ672" s="221"/>
      <c r="AK672" s="221"/>
      <c r="AL672" s="221"/>
      <c r="AM672" s="221"/>
      <c r="AN672" s="221"/>
      <c r="AO672" s="221"/>
      <c r="AP672" s="302" t="s">
        <v>19</v>
      </c>
      <c r="AQ672" s="195">
        <f>SUM(AT672,AW672,AZ672,BC672,BF672,BI672,BL672)</f>
        <v>34750.327629150663</v>
      </c>
      <c r="AR672" s="197">
        <f>SUM(AT672,AX672,BA672,BD672,BG672,BJ672,BM672)</f>
        <v>0</v>
      </c>
      <c r="AS672" s="195">
        <f>AQ672-AR672</f>
        <v>34750.327629150663</v>
      </c>
      <c r="AT672" s="312"/>
      <c r="AU672" s="312"/>
      <c r="AV672" s="244"/>
      <c r="AW672" s="159"/>
      <c r="AX672" s="312"/>
      <c r="AY672" s="194">
        <f>AW672-AX672</f>
        <v>0</v>
      </c>
      <c r="AZ672" s="160"/>
      <c r="BA672" s="312"/>
      <c r="BB672" s="194">
        <f>AZ672-BA672</f>
        <v>0</v>
      </c>
      <c r="BC672" s="159">
        <v>34750.327629150663</v>
      </c>
      <c r="BD672" s="312"/>
      <c r="BE672" s="194">
        <f>BC672-BD672</f>
        <v>34750.327629150663</v>
      </c>
      <c r="BF672" s="159"/>
      <c r="BG672" s="244"/>
      <c r="BH672" s="194">
        <f>BF672-BG672</f>
        <v>0</v>
      </c>
      <c r="BI672" s="159"/>
      <c r="BJ672" s="244"/>
      <c r="BK672" s="194">
        <f>BI672-BJ672</f>
        <v>0</v>
      </c>
      <c r="BL672" s="312"/>
      <c r="BM672" s="312"/>
      <c r="BN672" s="195">
        <f>BL672-BM672</f>
        <v>0</v>
      </c>
      <c r="BO672" s="251">
        <v>0</v>
      </c>
      <c r="BP672" s="364"/>
      <c r="BQ672" s="364"/>
      <c r="BR672" s="364"/>
      <c r="BS672" s="249" t="str">
        <f>AG672 &amp; BO672</f>
        <v>Амортизационные отчисления0</v>
      </c>
      <c r="BT672" s="364"/>
      <c r="BU672" s="364"/>
      <c r="BV672" s="364"/>
      <c r="BW672" s="364"/>
      <c r="BX672" s="364"/>
      <c r="BY672" s="249" t="str">
        <f>AG672&amp;AH672</f>
        <v>Амортизационные отчислениянет</v>
      </c>
      <c r="BZ672" s="250"/>
    </row>
    <row r="673" spans="3:78" ht="14.25">
      <c r="C673" s="97"/>
      <c r="D673" s="367"/>
      <c r="E673" s="370"/>
      <c r="F673" s="406"/>
      <c r="G673" s="376"/>
      <c r="H673" s="379"/>
      <c r="I673" s="382"/>
      <c r="J673" s="382"/>
      <c r="K673" s="385"/>
      <c r="L673" s="388"/>
      <c r="M673" s="391"/>
      <c r="N673" s="394"/>
      <c r="O673" s="397"/>
      <c r="P673" s="400"/>
      <c r="Q673" s="403"/>
      <c r="R673" s="362"/>
      <c r="S673" s="362"/>
      <c r="T673" s="362"/>
      <c r="U673" s="362"/>
      <c r="V673" s="362"/>
      <c r="W673" s="362"/>
      <c r="X673" s="362"/>
      <c r="Y673" s="362"/>
      <c r="Z673" s="362"/>
      <c r="AA673" s="362"/>
      <c r="AB673" s="362"/>
      <c r="AC673" s="362"/>
      <c r="AD673" s="362"/>
      <c r="AE673" s="322" t="s">
        <v>1240</v>
      </c>
      <c r="AF673" s="217" t="s">
        <v>118</v>
      </c>
      <c r="AG673" s="196" t="s">
        <v>223</v>
      </c>
      <c r="AH673" s="302" t="s">
        <v>19</v>
      </c>
      <c r="AI673" s="301" t="s">
        <v>154</v>
      </c>
      <c r="AJ673" s="221"/>
      <c r="AK673" s="221"/>
      <c r="AL673" s="221"/>
      <c r="AM673" s="221"/>
      <c r="AN673" s="221"/>
      <c r="AO673" s="221"/>
      <c r="AP673" s="302" t="s">
        <v>19</v>
      </c>
      <c r="AQ673" s="195">
        <f>SUM(AT673,AW673,AZ673,BC673,BF673,BI673,BL673)</f>
        <v>6950.065525830134</v>
      </c>
      <c r="AR673" s="197">
        <f>SUM(AT673,AX673,BA673,BD673,BG673,BJ673,BM673)</f>
        <v>0</v>
      </c>
      <c r="AS673" s="195">
        <f>AQ673-AR673</f>
        <v>6950.065525830134</v>
      </c>
      <c r="AT673" s="315"/>
      <c r="AU673" s="315"/>
      <c r="AV673" s="241"/>
      <c r="AW673" s="198"/>
      <c r="AX673" s="313"/>
      <c r="AY673" s="199">
        <f>AW673-AX673</f>
        <v>0</v>
      </c>
      <c r="AZ673" s="173"/>
      <c r="BA673" s="313"/>
      <c r="BB673" s="199">
        <f>AZ673-BA673</f>
        <v>0</v>
      </c>
      <c r="BC673" s="198">
        <f>41700.3931549808-BC672</f>
        <v>6950.065525830134</v>
      </c>
      <c r="BD673" s="313"/>
      <c r="BE673" s="199">
        <f>BC673-BD673</f>
        <v>6950.065525830134</v>
      </c>
      <c r="BF673" s="198"/>
      <c r="BG673" s="241"/>
      <c r="BH673" s="199">
        <f>BF673-BG673</f>
        <v>0</v>
      </c>
      <c r="BI673" s="198"/>
      <c r="BJ673" s="241"/>
      <c r="BK673" s="199">
        <f>BI673-BJ673</f>
        <v>0</v>
      </c>
      <c r="BL673" s="313"/>
      <c r="BM673" s="313"/>
      <c r="BN673" s="195">
        <f>BL673-BM673</f>
        <v>0</v>
      </c>
      <c r="BO673" s="251">
        <v>0</v>
      </c>
      <c r="BP673" s="364"/>
      <c r="BQ673" s="364"/>
      <c r="BR673" s="364"/>
      <c r="BS673" s="249" t="str">
        <f>AG673 &amp; BO673</f>
        <v>Прочие собственные средства0</v>
      </c>
      <c r="BT673" s="364"/>
      <c r="BU673" s="364"/>
      <c r="BV673" s="364"/>
      <c r="BW673" s="364"/>
      <c r="BX673" s="364"/>
      <c r="BY673" s="249" t="str">
        <f>AG673&amp;AH673</f>
        <v>Прочие собственные средстванет</v>
      </c>
      <c r="BZ673" s="250"/>
    </row>
    <row r="674" spans="3:78" ht="15" customHeight="1">
      <c r="C674" s="306"/>
      <c r="D674" s="367"/>
      <c r="E674" s="370"/>
      <c r="F674" s="406"/>
      <c r="G674" s="376"/>
      <c r="H674" s="379"/>
      <c r="I674" s="382"/>
      <c r="J674" s="382"/>
      <c r="K674" s="385"/>
      <c r="L674" s="388"/>
      <c r="M674" s="391"/>
      <c r="N674" s="395"/>
      <c r="O674" s="398"/>
      <c r="P674" s="401"/>
      <c r="Q674" s="404"/>
      <c r="R674" s="363"/>
      <c r="S674" s="363"/>
      <c r="T674" s="363"/>
      <c r="U674" s="363"/>
      <c r="V674" s="363"/>
      <c r="W674" s="363"/>
      <c r="X674" s="363"/>
      <c r="Y674" s="363"/>
      <c r="Z674" s="363"/>
      <c r="AA674" s="363"/>
      <c r="AB674" s="363"/>
      <c r="AC674" s="363"/>
      <c r="AD674" s="363"/>
      <c r="AE674" s="279" t="s">
        <v>379</v>
      </c>
      <c r="AF674" s="203"/>
      <c r="AG674" s="223" t="s">
        <v>24</v>
      </c>
      <c r="AH674" s="223"/>
      <c r="AI674" s="223"/>
      <c r="AJ674" s="223"/>
      <c r="AK674" s="223"/>
      <c r="AL674" s="223"/>
      <c r="AM674" s="223"/>
      <c r="AN674" s="223"/>
      <c r="AO674" s="223"/>
      <c r="AP674" s="168"/>
      <c r="AQ674" s="169"/>
      <c r="AR674" s="169"/>
      <c r="AS674" s="169"/>
      <c r="AT674" s="169"/>
      <c r="AU674" s="169"/>
      <c r="AV674" s="169"/>
      <c r="AW674" s="169"/>
      <c r="AX674" s="169"/>
      <c r="AY674" s="169"/>
      <c r="AZ674" s="169"/>
      <c r="BA674" s="169"/>
      <c r="BB674" s="169"/>
      <c r="BC674" s="169"/>
      <c r="BD674" s="169"/>
      <c r="BE674" s="169"/>
      <c r="BF674" s="169"/>
      <c r="BG674" s="169"/>
      <c r="BH674" s="169"/>
      <c r="BI674" s="169"/>
      <c r="BJ674" s="169"/>
      <c r="BK674" s="169"/>
      <c r="BL674" s="169"/>
      <c r="BM674" s="169"/>
      <c r="BN674" s="170"/>
      <c r="BO674" s="251"/>
      <c r="BP674" s="364"/>
      <c r="BQ674" s="364"/>
      <c r="BR674" s="364"/>
      <c r="BS674" s="250"/>
      <c r="BT674" s="364"/>
      <c r="BU674" s="364"/>
      <c r="BV674" s="364"/>
      <c r="BW674" s="364"/>
      <c r="BX674" s="364"/>
      <c r="BY674" s="250"/>
    </row>
    <row r="675" spans="3:78" ht="15" customHeight="1" thickBot="1">
      <c r="C675" s="307"/>
      <c r="D675" s="368"/>
      <c r="E675" s="371"/>
      <c r="F675" s="407"/>
      <c r="G675" s="377"/>
      <c r="H675" s="380"/>
      <c r="I675" s="383"/>
      <c r="J675" s="383"/>
      <c r="K675" s="386"/>
      <c r="L675" s="389"/>
      <c r="M675" s="392"/>
      <c r="N675" s="280" t="s">
        <v>380</v>
      </c>
      <c r="O675" s="212"/>
      <c r="P675" s="365" t="s">
        <v>154</v>
      </c>
      <c r="Q675" s="365"/>
      <c r="R675" s="171"/>
      <c r="S675" s="171"/>
      <c r="T675" s="166"/>
      <c r="U675" s="166"/>
      <c r="V675" s="166"/>
      <c r="W675" s="166"/>
      <c r="X675" s="166"/>
      <c r="Y675" s="166"/>
      <c r="Z675" s="166"/>
      <c r="AA675" s="166"/>
      <c r="AB675" s="166"/>
      <c r="AC675" s="166"/>
      <c r="AD675" s="166"/>
      <c r="AE675" s="166"/>
      <c r="AF675" s="166"/>
      <c r="AG675" s="166"/>
      <c r="AH675" s="166"/>
      <c r="AI675" s="166"/>
      <c r="AJ675" s="166"/>
      <c r="AK675" s="166"/>
      <c r="AL675" s="166"/>
      <c r="AM675" s="166"/>
      <c r="AN675" s="166"/>
      <c r="AO675" s="166"/>
      <c r="AP675" s="166"/>
      <c r="AQ675" s="166"/>
      <c r="AR675" s="166"/>
      <c r="AS675" s="166"/>
      <c r="AT675" s="166"/>
      <c r="AU675" s="166"/>
      <c r="AV675" s="166"/>
      <c r="AW675" s="166"/>
      <c r="AX675" s="166"/>
      <c r="AY675" s="166"/>
      <c r="AZ675" s="166"/>
      <c r="BA675" s="166"/>
      <c r="BB675" s="166"/>
      <c r="BC675" s="166"/>
      <c r="BD675" s="166"/>
      <c r="BE675" s="166"/>
      <c r="BF675" s="166"/>
      <c r="BG675" s="166"/>
      <c r="BH675" s="166"/>
      <c r="BI675" s="166"/>
      <c r="BJ675" s="166"/>
      <c r="BK675" s="166"/>
      <c r="BL675" s="166"/>
      <c r="BM675" s="166"/>
      <c r="BN675" s="167"/>
      <c r="BO675" s="251"/>
      <c r="BP675" s="250"/>
      <c r="BQ675" s="250"/>
      <c r="BR675" s="250"/>
      <c r="BS675" s="250"/>
      <c r="BT675" s="250"/>
      <c r="BU675" s="250"/>
      <c r="BY675" s="250"/>
    </row>
    <row r="676" spans="3:78" ht="11.25" customHeight="1">
      <c r="C676" s="97" t="s">
        <v>1240</v>
      </c>
      <c r="D676" s="366" t="s">
        <v>1403</v>
      </c>
      <c r="E676" s="369" t="s">
        <v>199</v>
      </c>
      <c r="F676" s="405" t="s">
        <v>209</v>
      </c>
      <c r="G676" s="375" t="s">
        <v>1422</v>
      </c>
      <c r="H676" s="378" t="s">
        <v>715</v>
      </c>
      <c r="I676" s="381" t="s">
        <v>715</v>
      </c>
      <c r="J676" s="381" t="s">
        <v>716</v>
      </c>
      <c r="K676" s="384">
        <v>1</v>
      </c>
      <c r="L676" s="387" t="s">
        <v>4</v>
      </c>
      <c r="M676" s="390">
        <v>0</v>
      </c>
      <c r="N676" s="163"/>
      <c r="O676" s="161"/>
      <c r="P676" s="161"/>
      <c r="Q676" s="161"/>
      <c r="R676" s="161"/>
      <c r="S676" s="161"/>
      <c r="T676" s="161"/>
      <c r="U676" s="161"/>
      <c r="V676" s="161"/>
      <c r="W676" s="161"/>
      <c r="X676" s="161"/>
      <c r="Y676" s="161"/>
      <c r="Z676" s="161"/>
      <c r="AA676" s="161"/>
      <c r="AB676" s="161"/>
      <c r="AC676" s="161"/>
      <c r="AD676" s="161"/>
      <c r="AE676" s="161"/>
      <c r="AF676" s="161"/>
      <c r="AG676" s="161"/>
      <c r="AH676" s="161"/>
      <c r="AI676" s="161"/>
      <c r="AJ676" s="161"/>
      <c r="AK676" s="161"/>
      <c r="AL676" s="161"/>
      <c r="AM676" s="161"/>
      <c r="AN676" s="161"/>
      <c r="AO676" s="161"/>
      <c r="AP676" s="161"/>
      <c r="AQ676" s="161"/>
      <c r="AR676" s="161"/>
      <c r="AS676" s="161"/>
      <c r="AT676" s="161"/>
      <c r="AU676" s="161"/>
      <c r="AV676" s="161"/>
      <c r="AW676" s="161"/>
      <c r="AX676" s="161"/>
      <c r="AY676" s="161"/>
      <c r="AZ676" s="161"/>
      <c r="BA676" s="161"/>
      <c r="BB676" s="161"/>
      <c r="BC676" s="161"/>
      <c r="BD676" s="161"/>
      <c r="BE676" s="161"/>
      <c r="BF676" s="161"/>
      <c r="BG676" s="161"/>
      <c r="BH676" s="161"/>
      <c r="BI676" s="161"/>
      <c r="BJ676" s="161"/>
      <c r="BK676" s="161"/>
      <c r="BL676" s="161"/>
      <c r="BM676" s="161"/>
      <c r="BN676" s="162"/>
      <c r="BO676" s="251"/>
      <c r="BP676" s="250"/>
      <c r="BQ676" s="250"/>
      <c r="BR676" s="250"/>
      <c r="BS676" s="250"/>
      <c r="BT676" s="250"/>
      <c r="BU676" s="250"/>
      <c r="BY676" s="250"/>
    </row>
    <row r="677" spans="3:78" ht="11.25" customHeight="1">
      <c r="C677" s="306"/>
      <c r="D677" s="367"/>
      <c r="E677" s="370"/>
      <c r="F677" s="406"/>
      <c r="G677" s="376"/>
      <c r="H677" s="379"/>
      <c r="I677" s="382"/>
      <c r="J677" s="382"/>
      <c r="K677" s="385"/>
      <c r="L677" s="388"/>
      <c r="M677" s="391"/>
      <c r="N677" s="393"/>
      <c r="O677" s="396">
        <v>1</v>
      </c>
      <c r="P677" s="399" t="s">
        <v>1297</v>
      </c>
      <c r="Q677" s="402"/>
      <c r="R677" s="361" t="s">
        <v>154</v>
      </c>
      <c r="S677" s="361" t="s">
        <v>154</v>
      </c>
      <c r="T677" s="361" t="s">
        <v>154</v>
      </c>
      <c r="U677" s="361" t="s">
        <v>154</v>
      </c>
      <c r="V677" s="361" t="s">
        <v>154</v>
      </c>
      <c r="W677" s="361" t="s">
        <v>154</v>
      </c>
      <c r="X677" s="361" t="s">
        <v>154</v>
      </c>
      <c r="Y677" s="361" t="s">
        <v>154</v>
      </c>
      <c r="Z677" s="361" t="s">
        <v>154</v>
      </c>
      <c r="AA677" s="361" t="s">
        <v>154</v>
      </c>
      <c r="AB677" s="361" t="s">
        <v>154</v>
      </c>
      <c r="AC677" s="361" t="s">
        <v>154</v>
      </c>
      <c r="AD677" s="361" t="s">
        <v>154</v>
      </c>
      <c r="AE677" s="209"/>
      <c r="AF677" s="220">
        <v>0</v>
      </c>
      <c r="AG677" s="219" t="s">
        <v>308</v>
      </c>
      <c r="AH677" s="219"/>
      <c r="AI677" s="219"/>
      <c r="AJ677" s="219"/>
      <c r="AK677" s="219"/>
      <c r="AL677" s="219"/>
      <c r="AM677" s="219"/>
      <c r="AN677" s="219"/>
      <c r="AO677" s="219"/>
      <c r="AP677" s="164"/>
      <c r="AQ677" s="164"/>
      <c r="AR677" s="164"/>
      <c r="AS677" s="164"/>
      <c r="AT677" s="164"/>
      <c r="AU677" s="164"/>
      <c r="AV677" s="164"/>
      <c r="AW677" s="164"/>
      <c r="AX677" s="164"/>
      <c r="AY677" s="164"/>
      <c r="AZ677" s="164"/>
      <c r="BA677" s="164"/>
      <c r="BB677" s="164"/>
      <c r="BC677" s="164"/>
      <c r="BD677" s="164"/>
      <c r="BE677" s="164"/>
      <c r="BF677" s="164"/>
      <c r="BG677" s="164"/>
      <c r="BH677" s="164"/>
      <c r="BI677" s="164"/>
      <c r="BJ677" s="164"/>
      <c r="BK677" s="164"/>
      <c r="BL677" s="164"/>
      <c r="BM677" s="164"/>
      <c r="BN677" s="165"/>
      <c r="BO677" s="251"/>
      <c r="BP677" s="364" t="s">
        <v>1298</v>
      </c>
      <c r="BQ677" s="364" t="s">
        <v>1298</v>
      </c>
      <c r="BR677" s="364" t="s">
        <v>1298</v>
      </c>
      <c r="BS677" s="250"/>
      <c r="BT677" s="364" t="s">
        <v>1298</v>
      </c>
      <c r="BU677" s="364" t="s">
        <v>1298</v>
      </c>
      <c r="BV677" s="364" t="s">
        <v>1298</v>
      </c>
      <c r="BW677" s="364" t="s">
        <v>1298</v>
      </c>
      <c r="BX677" s="364" t="s">
        <v>1298</v>
      </c>
      <c r="BY677" s="250"/>
    </row>
    <row r="678" spans="3:78" ht="14.25">
      <c r="C678" s="306"/>
      <c r="D678" s="367"/>
      <c r="E678" s="370"/>
      <c r="F678" s="406"/>
      <c r="G678" s="376"/>
      <c r="H678" s="379"/>
      <c r="I678" s="382"/>
      <c r="J678" s="382"/>
      <c r="K678" s="385"/>
      <c r="L678" s="388"/>
      <c r="M678" s="391"/>
      <c r="N678" s="394"/>
      <c r="O678" s="397"/>
      <c r="P678" s="400"/>
      <c r="Q678" s="403"/>
      <c r="R678" s="362"/>
      <c r="S678" s="362"/>
      <c r="T678" s="362"/>
      <c r="U678" s="362"/>
      <c r="V678" s="362"/>
      <c r="W678" s="362"/>
      <c r="X678" s="362"/>
      <c r="Y678" s="362"/>
      <c r="Z678" s="362"/>
      <c r="AA678" s="362"/>
      <c r="AB678" s="362"/>
      <c r="AC678" s="362"/>
      <c r="AD678" s="362"/>
      <c r="AE678" s="193"/>
      <c r="AF678" s="217" t="s">
        <v>268</v>
      </c>
      <c r="AG678" s="158" t="s">
        <v>221</v>
      </c>
      <c r="AH678" s="300" t="s">
        <v>19</v>
      </c>
      <c r="AI678" s="301" t="s">
        <v>154</v>
      </c>
      <c r="AJ678" s="221"/>
      <c r="AK678" s="221"/>
      <c r="AL678" s="221"/>
      <c r="AM678" s="221"/>
      <c r="AN678" s="221"/>
      <c r="AO678" s="221"/>
      <c r="AP678" s="302" t="s">
        <v>19</v>
      </c>
      <c r="AQ678" s="195">
        <f>SUM(AT678,AW678,AZ678,BC678,BF678,BI678,BL678)</f>
        <v>62231.962086587919</v>
      </c>
      <c r="AR678" s="197">
        <f>SUM(AT678,AX678,BA678,BD678,BG678,BJ678,BM678)</f>
        <v>0</v>
      </c>
      <c r="AS678" s="195">
        <f>AQ678-AR678</f>
        <v>62231.962086587919</v>
      </c>
      <c r="AT678" s="312"/>
      <c r="AU678" s="312"/>
      <c r="AV678" s="244"/>
      <c r="AW678" s="159"/>
      <c r="AX678" s="312"/>
      <c r="AY678" s="194">
        <f>AW678-AX678</f>
        <v>0</v>
      </c>
      <c r="AZ678" s="160">
        <v>62231.962086587919</v>
      </c>
      <c r="BA678" s="312"/>
      <c r="BB678" s="194">
        <f>AZ678-BA678</f>
        <v>62231.962086587919</v>
      </c>
      <c r="BC678" s="159"/>
      <c r="BD678" s="312"/>
      <c r="BE678" s="194">
        <f>BC678-BD678</f>
        <v>0</v>
      </c>
      <c r="BF678" s="159"/>
      <c r="BG678" s="244"/>
      <c r="BH678" s="194">
        <f>BF678-BG678</f>
        <v>0</v>
      </c>
      <c r="BI678" s="159"/>
      <c r="BJ678" s="244"/>
      <c r="BK678" s="194">
        <f>BI678-BJ678</f>
        <v>0</v>
      </c>
      <c r="BL678" s="312"/>
      <c r="BM678" s="312"/>
      <c r="BN678" s="195">
        <f>BL678-BM678</f>
        <v>0</v>
      </c>
      <c r="BO678" s="251">
        <v>0</v>
      </c>
      <c r="BP678" s="364"/>
      <c r="BQ678" s="364"/>
      <c r="BR678" s="364"/>
      <c r="BS678" s="249" t="str">
        <f>AG678 &amp; BO678</f>
        <v>Амортизационные отчисления0</v>
      </c>
      <c r="BT678" s="364"/>
      <c r="BU678" s="364"/>
      <c r="BV678" s="364"/>
      <c r="BW678" s="364"/>
      <c r="BX678" s="364"/>
      <c r="BY678" s="249" t="str">
        <f>AG678&amp;AH678</f>
        <v>Амортизационные отчислениянет</v>
      </c>
      <c r="BZ678" s="250"/>
    </row>
    <row r="679" spans="3:78" ht="14.25">
      <c r="C679" s="97"/>
      <c r="D679" s="367"/>
      <c r="E679" s="370"/>
      <c r="F679" s="406"/>
      <c r="G679" s="376"/>
      <c r="H679" s="379"/>
      <c r="I679" s="382"/>
      <c r="J679" s="382"/>
      <c r="K679" s="385"/>
      <c r="L679" s="388"/>
      <c r="M679" s="391"/>
      <c r="N679" s="394"/>
      <c r="O679" s="397"/>
      <c r="P679" s="400"/>
      <c r="Q679" s="403"/>
      <c r="R679" s="362"/>
      <c r="S679" s="362"/>
      <c r="T679" s="362"/>
      <c r="U679" s="362"/>
      <c r="V679" s="362"/>
      <c r="W679" s="362"/>
      <c r="X679" s="362"/>
      <c r="Y679" s="362"/>
      <c r="Z679" s="362"/>
      <c r="AA679" s="362"/>
      <c r="AB679" s="362"/>
      <c r="AC679" s="362"/>
      <c r="AD679" s="362"/>
      <c r="AE679" s="322" t="s">
        <v>1240</v>
      </c>
      <c r="AF679" s="217" t="s">
        <v>118</v>
      </c>
      <c r="AG679" s="196" t="s">
        <v>223</v>
      </c>
      <c r="AH679" s="302" t="s">
        <v>19</v>
      </c>
      <c r="AI679" s="301" t="s">
        <v>154</v>
      </c>
      <c r="AJ679" s="221"/>
      <c r="AK679" s="221"/>
      <c r="AL679" s="221"/>
      <c r="AM679" s="221"/>
      <c r="AN679" s="221"/>
      <c r="AO679" s="221"/>
      <c r="AP679" s="302" t="s">
        <v>19</v>
      </c>
      <c r="AQ679" s="195">
        <f>SUM(AT679,AW679,AZ679,BC679,BF679,BI679,BL679)</f>
        <v>12446.392417317584</v>
      </c>
      <c r="AR679" s="197">
        <f>SUM(AT679,AX679,BA679,BD679,BG679,BJ679,BM679)</f>
        <v>0</v>
      </c>
      <c r="AS679" s="195">
        <f>AQ679-AR679</f>
        <v>12446.392417317584</v>
      </c>
      <c r="AT679" s="315"/>
      <c r="AU679" s="315"/>
      <c r="AV679" s="241"/>
      <c r="AW679" s="198"/>
      <c r="AX679" s="313"/>
      <c r="AY679" s="199">
        <f>AW679-AX679</f>
        <v>0</v>
      </c>
      <c r="AZ679" s="173">
        <f>74678.3545039055-AZ678</f>
        <v>12446.392417317584</v>
      </c>
      <c r="BA679" s="313"/>
      <c r="BB679" s="199">
        <f>AZ679-BA679</f>
        <v>12446.392417317584</v>
      </c>
      <c r="BC679" s="198"/>
      <c r="BD679" s="313"/>
      <c r="BE679" s="199">
        <f>BC679-BD679</f>
        <v>0</v>
      </c>
      <c r="BF679" s="198"/>
      <c r="BG679" s="241"/>
      <c r="BH679" s="199">
        <f>BF679-BG679</f>
        <v>0</v>
      </c>
      <c r="BI679" s="198"/>
      <c r="BJ679" s="241"/>
      <c r="BK679" s="199">
        <f>BI679-BJ679</f>
        <v>0</v>
      </c>
      <c r="BL679" s="313"/>
      <c r="BM679" s="313"/>
      <c r="BN679" s="195">
        <f>BL679-BM679</f>
        <v>0</v>
      </c>
      <c r="BO679" s="251">
        <v>0</v>
      </c>
      <c r="BP679" s="364"/>
      <c r="BQ679" s="364"/>
      <c r="BR679" s="364"/>
      <c r="BS679" s="249" t="str">
        <f>AG679 &amp; BO679</f>
        <v>Прочие собственные средства0</v>
      </c>
      <c r="BT679" s="364"/>
      <c r="BU679" s="364"/>
      <c r="BV679" s="364"/>
      <c r="BW679" s="364"/>
      <c r="BX679" s="364"/>
      <c r="BY679" s="249" t="str">
        <f>AG679&amp;AH679</f>
        <v>Прочие собственные средстванет</v>
      </c>
      <c r="BZ679" s="250"/>
    </row>
    <row r="680" spans="3:78" ht="15" customHeight="1">
      <c r="C680" s="306"/>
      <c r="D680" s="367"/>
      <c r="E680" s="370"/>
      <c r="F680" s="406"/>
      <c r="G680" s="376"/>
      <c r="H680" s="379"/>
      <c r="I680" s="382"/>
      <c r="J680" s="382"/>
      <c r="K680" s="385"/>
      <c r="L680" s="388"/>
      <c r="M680" s="391"/>
      <c r="N680" s="395"/>
      <c r="O680" s="398"/>
      <c r="P680" s="401"/>
      <c r="Q680" s="404"/>
      <c r="R680" s="363"/>
      <c r="S680" s="363"/>
      <c r="T680" s="363"/>
      <c r="U680" s="363"/>
      <c r="V680" s="363"/>
      <c r="W680" s="363"/>
      <c r="X680" s="363"/>
      <c r="Y680" s="363"/>
      <c r="Z680" s="363"/>
      <c r="AA680" s="363"/>
      <c r="AB680" s="363"/>
      <c r="AC680" s="363"/>
      <c r="AD680" s="363"/>
      <c r="AE680" s="279" t="s">
        <v>379</v>
      </c>
      <c r="AF680" s="203"/>
      <c r="AG680" s="223" t="s">
        <v>24</v>
      </c>
      <c r="AH680" s="223"/>
      <c r="AI680" s="223"/>
      <c r="AJ680" s="223"/>
      <c r="AK680" s="223"/>
      <c r="AL680" s="223"/>
      <c r="AM680" s="223"/>
      <c r="AN680" s="223"/>
      <c r="AO680" s="223"/>
      <c r="AP680" s="168"/>
      <c r="AQ680" s="169"/>
      <c r="AR680" s="169"/>
      <c r="AS680" s="169"/>
      <c r="AT680" s="169"/>
      <c r="AU680" s="169"/>
      <c r="AV680" s="169"/>
      <c r="AW680" s="169"/>
      <c r="AX680" s="169"/>
      <c r="AY680" s="169"/>
      <c r="AZ680" s="169"/>
      <c r="BA680" s="169"/>
      <c r="BB680" s="169"/>
      <c r="BC680" s="169"/>
      <c r="BD680" s="169"/>
      <c r="BE680" s="169"/>
      <c r="BF680" s="169"/>
      <c r="BG680" s="169"/>
      <c r="BH680" s="169"/>
      <c r="BI680" s="169"/>
      <c r="BJ680" s="169"/>
      <c r="BK680" s="169"/>
      <c r="BL680" s="169"/>
      <c r="BM680" s="169"/>
      <c r="BN680" s="170"/>
      <c r="BO680" s="251"/>
      <c r="BP680" s="364"/>
      <c r="BQ680" s="364"/>
      <c r="BR680" s="364"/>
      <c r="BS680" s="250"/>
      <c r="BT680" s="364"/>
      <c r="BU680" s="364"/>
      <c r="BV680" s="364"/>
      <c r="BW680" s="364"/>
      <c r="BX680" s="364"/>
      <c r="BY680" s="250"/>
    </row>
    <row r="681" spans="3:78" ht="15" customHeight="1" thickBot="1">
      <c r="C681" s="307"/>
      <c r="D681" s="368"/>
      <c r="E681" s="371"/>
      <c r="F681" s="407"/>
      <c r="G681" s="377"/>
      <c r="H681" s="380"/>
      <c r="I681" s="383"/>
      <c r="J681" s="383"/>
      <c r="K681" s="386"/>
      <c r="L681" s="389"/>
      <c r="M681" s="392"/>
      <c r="N681" s="280" t="s">
        <v>380</v>
      </c>
      <c r="O681" s="212"/>
      <c r="P681" s="365" t="s">
        <v>154</v>
      </c>
      <c r="Q681" s="365"/>
      <c r="R681" s="171"/>
      <c r="S681" s="171"/>
      <c r="T681" s="166"/>
      <c r="U681" s="166"/>
      <c r="V681" s="166"/>
      <c r="W681" s="166"/>
      <c r="X681" s="166"/>
      <c r="Y681" s="166"/>
      <c r="Z681" s="166"/>
      <c r="AA681" s="166"/>
      <c r="AB681" s="166"/>
      <c r="AC681" s="166"/>
      <c r="AD681" s="166"/>
      <c r="AE681" s="166"/>
      <c r="AF681" s="166"/>
      <c r="AG681" s="166"/>
      <c r="AH681" s="166"/>
      <c r="AI681" s="166"/>
      <c r="AJ681" s="166"/>
      <c r="AK681" s="166"/>
      <c r="AL681" s="166"/>
      <c r="AM681" s="166"/>
      <c r="AN681" s="166"/>
      <c r="AO681" s="166"/>
      <c r="AP681" s="166"/>
      <c r="AQ681" s="166"/>
      <c r="AR681" s="166"/>
      <c r="AS681" s="166"/>
      <c r="AT681" s="166"/>
      <c r="AU681" s="166"/>
      <c r="AV681" s="166"/>
      <c r="AW681" s="166"/>
      <c r="AX681" s="166"/>
      <c r="AY681" s="166"/>
      <c r="AZ681" s="166"/>
      <c r="BA681" s="166"/>
      <c r="BB681" s="166"/>
      <c r="BC681" s="166"/>
      <c r="BD681" s="166"/>
      <c r="BE681" s="166"/>
      <c r="BF681" s="166"/>
      <c r="BG681" s="166"/>
      <c r="BH681" s="166"/>
      <c r="BI681" s="166"/>
      <c r="BJ681" s="166"/>
      <c r="BK681" s="166"/>
      <c r="BL681" s="166"/>
      <c r="BM681" s="166"/>
      <c r="BN681" s="167"/>
      <c r="BO681" s="251"/>
      <c r="BP681" s="250"/>
      <c r="BQ681" s="250"/>
      <c r="BR681" s="250"/>
      <c r="BS681" s="250"/>
      <c r="BT681" s="250"/>
      <c r="BU681" s="250"/>
      <c r="BY681" s="250"/>
    </row>
    <row r="682" spans="3:78" ht="11.25" customHeight="1">
      <c r="C682" s="97" t="s">
        <v>1240</v>
      </c>
      <c r="D682" s="366" t="s">
        <v>1404</v>
      </c>
      <c r="E682" s="369" t="s">
        <v>199</v>
      </c>
      <c r="F682" s="405" t="s">
        <v>209</v>
      </c>
      <c r="G682" s="375" t="s">
        <v>1423</v>
      </c>
      <c r="H682" s="378" t="s">
        <v>715</v>
      </c>
      <c r="I682" s="381" t="s">
        <v>715</v>
      </c>
      <c r="J682" s="381" t="s">
        <v>716</v>
      </c>
      <c r="K682" s="384">
        <v>1</v>
      </c>
      <c r="L682" s="387" t="s">
        <v>4</v>
      </c>
      <c r="M682" s="390">
        <v>0</v>
      </c>
      <c r="N682" s="163"/>
      <c r="O682" s="161"/>
      <c r="P682" s="161"/>
      <c r="Q682" s="161"/>
      <c r="R682" s="161"/>
      <c r="S682" s="161"/>
      <c r="T682" s="161"/>
      <c r="U682" s="161"/>
      <c r="V682" s="161"/>
      <c r="W682" s="161"/>
      <c r="X682" s="161"/>
      <c r="Y682" s="161"/>
      <c r="Z682" s="161"/>
      <c r="AA682" s="161"/>
      <c r="AB682" s="161"/>
      <c r="AC682" s="161"/>
      <c r="AD682" s="161"/>
      <c r="AE682" s="161"/>
      <c r="AF682" s="161"/>
      <c r="AG682" s="161"/>
      <c r="AH682" s="161"/>
      <c r="AI682" s="161"/>
      <c r="AJ682" s="161"/>
      <c r="AK682" s="161"/>
      <c r="AL682" s="161"/>
      <c r="AM682" s="161"/>
      <c r="AN682" s="161"/>
      <c r="AO682" s="161"/>
      <c r="AP682" s="161"/>
      <c r="AQ682" s="161"/>
      <c r="AR682" s="161"/>
      <c r="AS682" s="161"/>
      <c r="AT682" s="161"/>
      <c r="AU682" s="161"/>
      <c r="AV682" s="161"/>
      <c r="AW682" s="161"/>
      <c r="AX682" s="161"/>
      <c r="AY682" s="161"/>
      <c r="AZ682" s="161"/>
      <c r="BA682" s="161"/>
      <c r="BB682" s="161"/>
      <c r="BC682" s="161"/>
      <c r="BD682" s="161"/>
      <c r="BE682" s="161"/>
      <c r="BF682" s="161"/>
      <c r="BG682" s="161"/>
      <c r="BH682" s="161"/>
      <c r="BI682" s="161"/>
      <c r="BJ682" s="161"/>
      <c r="BK682" s="161"/>
      <c r="BL682" s="161"/>
      <c r="BM682" s="161"/>
      <c r="BN682" s="162"/>
      <c r="BO682" s="251"/>
      <c r="BP682" s="250"/>
      <c r="BQ682" s="250"/>
      <c r="BR682" s="250"/>
      <c r="BS682" s="250"/>
      <c r="BT682" s="250"/>
      <c r="BU682" s="250"/>
      <c r="BY682" s="250"/>
    </row>
    <row r="683" spans="3:78" ht="11.25" customHeight="1">
      <c r="C683" s="306"/>
      <c r="D683" s="367"/>
      <c r="E683" s="370"/>
      <c r="F683" s="406"/>
      <c r="G683" s="376"/>
      <c r="H683" s="379"/>
      <c r="I683" s="382"/>
      <c r="J683" s="382"/>
      <c r="K683" s="385"/>
      <c r="L683" s="388"/>
      <c r="M683" s="391"/>
      <c r="N683" s="393"/>
      <c r="O683" s="396">
        <v>1</v>
      </c>
      <c r="P683" s="399" t="s">
        <v>1297</v>
      </c>
      <c r="Q683" s="402"/>
      <c r="R683" s="361" t="s">
        <v>154</v>
      </c>
      <c r="S683" s="361" t="s">
        <v>154</v>
      </c>
      <c r="T683" s="361" t="s">
        <v>154</v>
      </c>
      <c r="U683" s="361" t="s">
        <v>154</v>
      </c>
      <c r="V683" s="361" t="s">
        <v>154</v>
      </c>
      <c r="W683" s="361" t="s">
        <v>154</v>
      </c>
      <c r="X683" s="361" t="s">
        <v>154</v>
      </c>
      <c r="Y683" s="361" t="s">
        <v>154</v>
      </c>
      <c r="Z683" s="361" t="s">
        <v>154</v>
      </c>
      <c r="AA683" s="361" t="s">
        <v>154</v>
      </c>
      <c r="AB683" s="361" t="s">
        <v>154</v>
      </c>
      <c r="AC683" s="361" t="s">
        <v>154</v>
      </c>
      <c r="AD683" s="361" t="s">
        <v>154</v>
      </c>
      <c r="AE683" s="209"/>
      <c r="AF683" s="220">
        <v>0</v>
      </c>
      <c r="AG683" s="219" t="s">
        <v>308</v>
      </c>
      <c r="AH683" s="219"/>
      <c r="AI683" s="219"/>
      <c r="AJ683" s="219"/>
      <c r="AK683" s="219"/>
      <c r="AL683" s="219"/>
      <c r="AM683" s="219"/>
      <c r="AN683" s="219"/>
      <c r="AO683" s="219"/>
      <c r="AP683" s="164"/>
      <c r="AQ683" s="164"/>
      <c r="AR683" s="164"/>
      <c r="AS683" s="164"/>
      <c r="AT683" s="164"/>
      <c r="AU683" s="164"/>
      <c r="AV683" s="164"/>
      <c r="AW683" s="164"/>
      <c r="AX683" s="164"/>
      <c r="AY683" s="164"/>
      <c r="AZ683" s="164"/>
      <c r="BA683" s="164"/>
      <c r="BB683" s="164"/>
      <c r="BC683" s="164"/>
      <c r="BD683" s="164"/>
      <c r="BE683" s="164"/>
      <c r="BF683" s="164"/>
      <c r="BG683" s="164"/>
      <c r="BH683" s="164"/>
      <c r="BI683" s="164"/>
      <c r="BJ683" s="164"/>
      <c r="BK683" s="164"/>
      <c r="BL683" s="164"/>
      <c r="BM683" s="164"/>
      <c r="BN683" s="165"/>
      <c r="BO683" s="251"/>
      <c r="BP683" s="364" t="s">
        <v>1298</v>
      </c>
      <c r="BQ683" s="364" t="s">
        <v>1298</v>
      </c>
      <c r="BR683" s="364" t="s">
        <v>1298</v>
      </c>
      <c r="BS683" s="250"/>
      <c r="BT683" s="364" t="s">
        <v>1298</v>
      </c>
      <c r="BU683" s="364" t="s">
        <v>1298</v>
      </c>
      <c r="BV683" s="364" t="s">
        <v>1298</v>
      </c>
      <c r="BW683" s="364" t="s">
        <v>1298</v>
      </c>
      <c r="BX683" s="364" t="s">
        <v>1298</v>
      </c>
      <c r="BY683" s="250"/>
    </row>
    <row r="684" spans="3:78" ht="14.25">
      <c r="C684" s="306"/>
      <c r="D684" s="367"/>
      <c r="E684" s="370"/>
      <c r="F684" s="406"/>
      <c r="G684" s="376"/>
      <c r="H684" s="379"/>
      <c r="I684" s="382"/>
      <c r="J684" s="382"/>
      <c r="K684" s="385"/>
      <c r="L684" s="388"/>
      <c r="M684" s="391"/>
      <c r="N684" s="394"/>
      <c r="O684" s="397"/>
      <c r="P684" s="400"/>
      <c r="Q684" s="403"/>
      <c r="R684" s="362"/>
      <c r="S684" s="362"/>
      <c r="T684" s="362"/>
      <c r="U684" s="362"/>
      <c r="V684" s="362"/>
      <c r="W684" s="362"/>
      <c r="X684" s="362"/>
      <c r="Y684" s="362"/>
      <c r="Z684" s="362"/>
      <c r="AA684" s="362"/>
      <c r="AB684" s="362"/>
      <c r="AC684" s="362"/>
      <c r="AD684" s="362"/>
      <c r="AE684" s="193"/>
      <c r="AF684" s="217" t="s">
        <v>268</v>
      </c>
      <c r="AG684" s="158" t="s">
        <v>221</v>
      </c>
      <c r="AH684" s="300" t="s">
        <v>19</v>
      </c>
      <c r="AI684" s="301" t="s">
        <v>154</v>
      </c>
      <c r="AJ684" s="221"/>
      <c r="AK684" s="221"/>
      <c r="AL684" s="221"/>
      <c r="AM684" s="221"/>
      <c r="AN684" s="221"/>
      <c r="AO684" s="221"/>
      <c r="AP684" s="302" t="s">
        <v>19</v>
      </c>
      <c r="AQ684" s="195">
        <f>SUM(AT684,AW684,AZ684,BC684,BF684,BI684,BL684)</f>
        <v>33853.243303233168</v>
      </c>
      <c r="AR684" s="197">
        <f>SUM(AT684,AX684,BA684,BD684,BG684,BJ684,BM684)</f>
        <v>0</v>
      </c>
      <c r="AS684" s="195">
        <f>AQ684-AR684</f>
        <v>33853.243303233168</v>
      </c>
      <c r="AT684" s="312"/>
      <c r="AU684" s="312"/>
      <c r="AV684" s="244"/>
      <c r="AW684" s="159"/>
      <c r="AX684" s="312"/>
      <c r="AY684" s="194">
        <f>AW684-AX684</f>
        <v>0</v>
      </c>
      <c r="AZ684" s="160">
        <v>33853.243303233168</v>
      </c>
      <c r="BA684" s="312"/>
      <c r="BB684" s="194">
        <f>AZ684-BA684</f>
        <v>33853.243303233168</v>
      </c>
      <c r="BC684" s="159"/>
      <c r="BD684" s="312"/>
      <c r="BE684" s="194">
        <f>BC684-BD684</f>
        <v>0</v>
      </c>
      <c r="BF684" s="159"/>
      <c r="BG684" s="244"/>
      <c r="BH684" s="194">
        <f>BF684-BG684</f>
        <v>0</v>
      </c>
      <c r="BI684" s="159"/>
      <c r="BJ684" s="244"/>
      <c r="BK684" s="194">
        <f>BI684-BJ684</f>
        <v>0</v>
      </c>
      <c r="BL684" s="312"/>
      <c r="BM684" s="312"/>
      <c r="BN684" s="195">
        <f>BL684-BM684</f>
        <v>0</v>
      </c>
      <c r="BO684" s="251">
        <v>0</v>
      </c>
      <c r="BP684" s="364"/>
      <c r="BQ684" s="364"/>
      <c r="BR684" s="364"/>
      <c r="BS684" s="249" t="str">
        <f>AG684 &amp; BO684</f>
        <v>Амортизационные отчисления0</v>
      </c>
      <c r="BT684" s="364"/>
      <c r="BU684" s="364"/>
      <c r="BV684" s="364"/>
      <c r="BW684" s="364"/>
      <c r="BX684" s="364"/>
      <c r="BY684" s="249" t="str">
        <f>AG684&amp;AH684</f>
        <v>Амортизационные отчислениянет</v>
      </c>
      <c r="BZ684" s="250"/>
    </row>
    <row r="685" spans="3:78" ht="14.25">
      <c r="C685" s="97"/>
      <c r="D685" s="367"/>
      <c r="E685" s="370"/>
      <c r="F685" s="406"/>
      <c r="G685" s="376"/>
      <c r="H685" s="379"/>
      <c r="I685" s="382"/>
      <c r="J685" s="382"/>
      <c r="K685" s="385"/>
      <c r="L685" s="388"/>
      <c r="M685" s="391"/>
      <c r="N685" s="394"/>
      <c r="O685" s="397"/>
      <c r="P685" s="400"/>
      <c r="Q685" s="403"/>
      <c r="R685" s="362"/>
      <c r="S685" s="362"/>
      <c r="T685" s="362"/>
      <c r="U685" s="362"/>
      <c r="V685" s="362"/>
      <c r="W685" s="362"/>
      <c r="X685" s="362"/>
      <c r="Y685" s="362"/>
      <c r="Z685" s="362"/>
      <c r="AA685" s="362"/>
      <c r="AB685" s="362"/>
      <c r="AC685" s="362"/>
      <c r="AD685" s="362"/>
      <c r="AE685" s="322" t="s">
        <v>1240</v>
      </c>
      <c r="AF685" s="217" t="s">
        <v>118</v>
      </c>
      <c r="AG685" s="196" t="s">
        <v>223</v>
      </c>
      <c r="AH685" s="302" t="s">
        <v>19</v>
      </c>
      <c r="AI685" s="301" t="s">
        <v>154</v>
      </c>
      <c r="AJ685" s="221"/>
      <c r="AK685" s="221"/>
      <c r="AL685" s="221"/>
      <c r="AM685" s="221"/>
      <c r="AN685" s="221"/>
      <c r="AO685" s="221"/>
      <c r="AP685" s="302" t="s">
        <v>19</v>
      </c>
      <c r="AQ685" s="195">
        <f>SUM(AT685,AW685,AZ685,BC685,BF685,BI685,BL685)</f>
        <v>6770.6486606466351</v>
      </c>
      <c r="AR685" s="197">
        <f>SUM(AT685,AX685,BA685,BD685,BG685,BJ685,BM685)</f>
        <v>0</v>
      </c>
      <c r="AS685" s="195">
        <f>AQ685-AR685</f>
        <v>6770.6486606466351</v>
      </c>
      <c r="AT685" s="315"/>
      <c r="AU685" s="315"/>
      <c r="AV685" s="241"/>
      <c r="AW685" s="198"/>
      <c r="AX685" s="313"/>
      <c r="AY685" s="199">
        <f>AW685-AX685</f>
        <v>0</v>
      </c>
      <c r="AZ685" s="173">
        <f>40623.8919638798-AZ684</f>
        <v>6770.6486606466351</v>
      </c>
      <c r="BA685" s="313"/>
      <c r="BB685" s="199">
        <f>AZ685-BA685</f>
        <v>6770.6486606466351</v>
      </c>
      <c r="BC685" s="198"/>
      <c r="BD685" s="313"/>
      <c r="BE685" s="199">
        <f>BC685-BD685</f>
        <v>0</v>
      </c>
      <c r="BF685" s="198"/>
      <c r="BG685" s="241"/>
      <c r="BH685" s="199">
        <f>BF685-BG685</f>
        <v>0</v>
      </c>
      <c r="BI685" s="198"/>
      <c r="BJ685" s="241"/>
      <c r="BK685" s="199">
        <f>BI685-BJ685</f>
        <v>0</v>
      </c>
      <c r="BL685" s="313"/>
      <c r="BM685" s="313"/>
      <c r="BN685" s="195">
        <f>BL685-BM685</f>
        <v>0</v>
      </c>
      <c r="BO685" s="251">
        <v>0</v>
      </c>
      <c r="BP685" s="364"/>
      <c r="BQ685" s="364"/>
      <c r="BR685" s="364"/>
      <c r="BS685" s="249" t="str">
        <f>AG685 &amp; BO685</f>
        <v>Прочие собственные средства0</v>
      </c>
      <c r="BT685" s="364"/>
      <c r="BU685" s="364"/>
      <c r="BV685" s="364"/>
      <c r="BW685" s="364"/>
      <c r="BX685" s="364"/>
      <c r="BY685" s="249" t="str">
        <f>AG685&amp;AH685</f>
        <v>Прочие собственные средстванет</v>
      </c>
      <c r="BZ685" s="250"/>
    </row>
    <row r="686" spans="3:78" ht="15" customHeight="1">
      <c r="C686" s="306"/>
      <c r="D686" s="367"/>
      <c r="E686" s="370"/>
      <c r="F686" s="406"/>
      <c r="G686" s="376"/>
      <c r="H686" s="379"/>
      <c r="I686" s="382"/>
      <c r="J686" s="382"/>
      <c r="K686" s="385"/>
      <c r="L686" s="388"/>
      <c r="M686" s="391"/>
      <c r="N686" s="395"/>
      <c r="O686" s="398"/>
      <c r="P686" s="401"/>
      <c r="Q686" s="404"/>
      <c r="R686" s="363"/>
      <c r="S686" s="363"/>
      <c r="T686" s="363"/>
      <c r="U686" s="363"/>
      <c r="V686" s="363"/>
      <c r="W686" s="363"/>
      <c r="X686" s="363"/>
      <c r="Y686" s="363"/>
      <c r="Z686" s="363"/>
      <c r="AA686" s="363"/>
      <c r="AB686" s="363"/>
      <c r="AC686" s="363"/>
      <c r="AD686" s="363"/>
      <c r="AE686" s="279" t="s">
        <v>379</v>
      </c>
      <c r="AF686" s="203"/>
      <c r="AG686" s="223" t="s">
        <v>24</v>
      </c>
      <c r="AH686" s="223"/>
      <c r="AI686" s="223"/>
      <c r="AJ686" s="223"/>
      <c r="AK686" s="223"/>
      <c r="AL686" s="223"/>
      <c r="AM686" s="223"/>
      <c r="AN686" s="223"/>
      <c r="AO686" s="223"/>
      <c r="AP686" s="168"/>
      <c r="AQ686" s="169"/>
      <c r="AR686" s="169"/>
      <c r="AS686" s="169"/>
      <c r="AT686" s="169"/>
      <c r="AU686" s="169"/>
      <c r="AV686" s="169"/>
      <c r="AW686" s="169"/>
      <c r="AX686" s="169"/>
      <c r="AY686" s="169"/>
      <c r="AZ686" s="169"/>
      <c r="BA686" s="169"/>
      <c r="BB686" s="169"/>
      <c r="BC686" s="169"/>
      <c r="BD686" s="169"/>
      <c r="BE686" s="169"/>
      <c r="BF686" s="169"/>
      <c r="BG686" s="169"/>
      <c r="BH686" s="169"/>
      <c r="BI686" s="169"/>
      <c r="BJ686" s="169"/>
      <c r="BK686" s="169"/>
      <c r="BL686" s="169"/>
      <c r="BM686" s="169"/>
      <c r="BN686" s="170"/>
      <c r="BO686" s="251"/>
      <c r="BP686" s="364"/>
      <c r="BQ686" s="364"/>
      <c r="BR686" s="364"/>
      <c r="BS686" s="250"/>
      <c r="BT686" s="364"/>
      <c r="BU686" s="364"/>
      <c r="BV686" s="364"/>
      <c r="BW686" s="364"/>
      <c r="BX686" s="364"/>
      <c r="BY686" s="250"/>
    </row>
    <row r="687" spans="3:78" ht="15" customHeight="1" thickBot="1">
      <c r="C687" s="307"/>
      <c r="D687" s="368"/>
      <c r="E687" s="371"/>
      <c r="F687" s="407"/>
      <c r="G687" s="377"/>
      <c r="H687" s="380"/>
      <c r="I687" s="383"/>
      <c r="J687" s="383"/>
      <c r="K687" s="386"/>
      <c r="L687" s="389"/>
      <c r="M687" s="392"/>
      <c r="N687" s="280" t="s">
        <v>380</v>
      </c>
      <c r="O687" s="212"/>
      <c r="P687" s="365" t="s">
        <v>154</v>
      </c>
      <c r="Q687" s="365"/>
      <c r="R687" s="171"/>
      <c r="S687" s="171"/>
      <c r="T687" s="166"/>
      <c r="U687" s="166"/>
      <c r="V687" s="166"/>
      <c r="W687" s="166"/>
      <c r="X687" s="166"/>
      <c r="Y687" s="166"/>
      <c r="Z687" s="166"/>
      <c r="AA687" s="166"/>
      <c r="AB687" s="166"/>
      <c r="AC687" s="166"/>
      <c r="AD687" s="166"/>
      <c r="AE687" s="166"/>
      <c r="AF687" s="166"/>
      <c r="AG687" s="166"/>
      <c r="AH687" s="166"/>
      <c r="AI687" s="166"/>
      <c r="AJ687" s="166"/>
      <c r="AK687" s="166"/>
      <c r="AL687" s="166"/>
      <c r="AM687" s="166"/>
      <c r="AN687" s="166"/>
      <c r="AO687" s="166"/>
      <c r="AP687" s="166"/>
      <c r="AQ687" s="166"/>
      <c r="AR687" s="166"/>
      <c r="AS687" s="166"/>
      <c r="AT687" s="166"/>
      <c r="AU687" s="166"/>
      <c r="AV687" s="166"/>
      <c r="AW687" s="166"/>
      <c r="AX687" s="166"/>
      <c r="AY687" s="166"/>
      <c r="AZ687" s="166"/>
      <c r="BA687" s="166"/>
      <c r="BB687" s="166"/>
      <c r="BC687" s="166"/>
      <c r="BD687" s="166"/>
      <c r="BE687" s="166"/>
      <c r="BF687" s="166"/>
      <c r="BG687" s="166"/>
      <c r="BH687" s="166"/>
      <c r="BI687" s="166"/>
      <c r="BJ687" s="166"/>
      <c r="BK687" s="166"/>
      <c r="BL687" s="166"/>
      <c r="BM687" s="166"/>
      <c r="BN687" s="167"/>
      <c r="BO687" s="251"/>
      <c r="BP687" s="250"/>
      <c r="BQ687" s="250"/>
      <c r="BR687" s="250"/>
      <c r="BS687" s="250"/>
      <c r="BT687" s="250"/>
      <c r="BU687" s="250"/>
      <c r="BY687" s="250"/>
    </row>
    <row r="688" spans="3:78" ht="11.25" customHeight="1">
      <c r="C688" s="97" t="s">
        <v>1240</v>
      </c>
      <c r="D688" s="366" t="s">
        <v>1405</v>
      </c>
      <c r="E688" s="369" t="s">
        <v>199</v>
      </c>
      <c r="F688" s="405" t="s">
        <v>209</v>
      </c>
      <c r="G688" s="375" t="s">
        <v>1498</v>
      </c>
      <c r="H688" s="378" t="s">
        <v>715</v>
      </c>
      <c r="I688" s="381" t="s">
        <v>715</v>
      </c>
      <c r="J688" s="381" t="s">
        <v>716</v>
      </c>
      <c r="K688" s="384">
        <v>1</v>
      </c>
      <c r="L688" s="387" t="s">
        <v>3</v>
      </c>
      <c r="M688" s="390">
        <v>0</v>
      </c>
      <c r="N688" s="163"/>
      <c r="O688" s="161"/>
      <c r="P688" s="161"/>
      <c r="Q688" s="161"/>
      <c r="R688" s="161"/>
      <c r="S688" s="161"/>
      <c r="T688" s="161"/>
      <c r="U688" s="161"/>
      <c r="V688" s="161"/>
      <c r="W688" s="161"/>
      <c r="X688" s="161"/>
      <c r="Y688" s="161"/>
      <c r="Z688" s="161"/>
      <c r="AA688" s="161"/>
      <c r="AB688" s="161"/>
      <c r="AC688" s="161"/>
      <c r="AD688" s="161"/>
      <c r="AE688" s="161"/>
      <c r="AF688" s="161"/>
      <c r="AG688" s="161"/>
      <c r="AH688" s="161"/>
      <c r="AI688" s="161"/>
      <c r="AJ688" s="161"/>
      <c r="AK688" s="161"/>
      <c r="AL688" s="161"/>
      <c r="AM688" s="161"/>
      <c r="AN688" s="161"/>
      <c r="AO688" s="161"/>
      <c r="AP688" s="161"/>
      <c r="AQ688" s="161"/>
      <c r="AR688" s="161"/>
      <c r="AS688" s="161"/>
      <c r="AT688" s="161"/>
      <c r="AU688" s="161"/>
      <c r="AV688" s="161"/>
      <c r="AW688" s="161"/>
      <c r="AX688" s="161"/>
      <c r="AY688" s="161"/>
      <c r="AZ688" s="161"/>
      <c r="BA688" s="161"/>
      <c r="BB688" s="161"/>
      <c r="BC688" s="161"/>
      <c r="BD688" s="161"/>
      <c r="BE688" s="161"/>
      <c r="BF688" s="161"/>
      <c r="BG688" s="161"/>
      <c r="BH688" s="161"/>
      <c r="BI688" s="161"/>
      <c r="BJ688" s="161"/>
      <c r="BK688" s="161"/>
      <c r="BL688" s="161"/>
      <c r="BM688" s="161"/>
      <c r="BN688" s="162"/>
      <c r="BO688" s="251"/>
      <c r="BP688" s="250"/>
      <c r="BQ688" s="250"/>
      <c r="BR688" s="250"/>
      <c r="BS688" s="250"/>
      <c r="BT688" s="250"/>
      <c r="BU688" s="250"/>
      <c r="BY688" s="250"/>
    </row>
    <row r="689" spans="3:78" ht="11.25" customHeight="1">
      <c r="C689" s="306"/>
      <c r="D689" s="367"/>
      <c r="E689" s="370"/>
      <c r="F689" s="406"/>
      <c r="G689" s="376"/>
      <c r="H689" s="379"/>
      <c r="I689" s="382"/>
      <c r="J689" s="382"/>
      <c r="K689" s="385"/>
      <c r="L689" s="388"/>
      <c r="M689" s="391"/>
      <c r="N689" s="393"/>
      <c r="O689" s="396">
        <v>1</v>
      </c>
      <c r="P689" s="399" t="s">
        <v>1297</v>
      </c>
      <c r="Q689" s="402"/>
      <c r="R689" s="361" t="s">
        <v>154</v>
      </c>
      <c r="S689" s="361" t="s">
        <v>154</v>
      </c>
      <c r="T689" s="361" t="s">
        <v>154</v>
      </c>
      <c r="U689" s="361" t="s">
        <v>154</v>
      </c>
      <c r="V689" s="361" t="s">
        <v>154</v>
      </c>
      <c r="W689" s="361" t="s">
        <v>154</v>
      </c>
      <c r="X689" s="361" t="s">
        <v>154</v>
      </c>
      <c r="Y689" s="361" t="s">
        <v>154</v>
      </c>
      <c r="Z689" s="361" t="s">
        <v>154</v>
      </c>
      <c r="AA689" s="361" t="s">
        <v>154</v>
      </c>
      <c r="AB689" s="361" t="s">
        <v>154</v>
      </c>
      <c r="AC689" s="361" t="s">
        <v>154</v>
      </c>
      <c r="AD689" s="361" t="s">
        <v>154</v>
      </c>
      <c r="AE689" s="209"/>
      <c r="AF689" s="220">
        <v>0</v>
      </c>
      <c r="AG689" s="219" t="s">
        <v>308</v>
      </c>
      <c r="AH689" s="219"/>
      <c r="AI689" s="219"/>
      <c r="AJ689" s="219"/>
      <c r="AK689" s="219"/>
      <c r="AL689" s="219"/>
      <c r="AM689" s="219"/>
      <c r="AN689" s="219"/>
      <c r="AO689" s="219"/>
      <c r="AP689" s="164"/>
      <c r="AQ689" s="164"/>
      <c r="AR689" s="164"/>
      <c r="AS689" s="164"/>
      <c r="AT689" s="164"/>
      <c r="AU689" s="164"/>
      <c r="AV689" s="164"/>
      <c r="AW689" s="164"/>
      <c r="AX689" s="164"/>
      <c r="AY689" s="164"/>
      <c r="AZ689" s="164"/>
      <c r="BA689" s="164"/>
      <c r="BB689" s="164"/>
      <c r="BC689" s="164"/>
      <c r="BD689" s="164"/>
      <c r="BE689" s="164"/>
      <c r="BF689" s="164"/>
      <c r="BG689" s="164"/>
      <c r="BH689" s="164"/>
      <c r="BI689" s="164"/>
      <c r="BJ689" s="164"/>
      <c r="BK689" s="164"/>
      <c r="BL689" s="164"/>
      <c r="BM689" s="164"/>
      <c r="BN689" s="165"/>
      <c r="BO689" s="251"/>
      <c r="BP689" s="364" t="s">
        <v>1298</v>
      </c>
      <c r="BQ689" s="364" t="s">
        <v>1298</v>
      </c>
      <c r="BR689" s="364" t="s">
        <v>1298</v>
      </c>
      <c r="BS689" s="250"/>
      <c r="BT689" s="364" t="s">
        <v>1298</v>
      </c>
      <c r="BU689" s="364" t="s">
        <v>1298</v>
      </c>
      <c r="BV689" s="364" t="s">
        <v>1298</v>
      </c>
      <c r="BW689" s="364" t="s">
        <v>1298</v>
      </c>
      <c r="BX689" s="364" t="s">
        <v>1298</v>
      </c>
      <c r="BY689" s="250"/>
    </row>
    <row r="690" spans="3:78" ht="14.25">
      <c r="C690" s="306"/>
      <c r="D690" s="367"/>
      <c r="E690" s="370"/>
      <c r="F690" s="406"/>
      <c r="G690" s="376"/>
      <c r="H690" s="379"/>
      <c r="I690" s="382"/>
      <c r="J690" s="382"/>
      <c r="K690" s="385"/>
      <c r="L690" s="388"/>
      <c r="M690" s="391"/>
      <c r="N690" s="394"/>
      <c r="O690" s="397"/>
      <c r="P690" s="400"/>
      <c r="Q690" s="403"/>
      <c r="R690" s="362"/>
      <c r="S690" s="362"/>
      <c r="T690" s="362"/>
      <c r="U690" s="362"/>
      <c r="V690" s="362"/>
      <c r="W690" s="362"/>
      <c r="X690" s="362"/>
      <c r="Y690" s="362"/>
      <c r="Z690" s="362"/>
      <c r="AA690" s="362"/>
      <c r="AB690" s="362"/>
      <c r="AC690" s="362"/>
      <c r="AD690" s="362"/>
      <c r="AE690" s="193"/>
      <c r="AF690" s="217" t="s">
        <v>268</v>
      </c>
      <c r="AG690" s="158" t="s">
        <v>221</v>
      </c>
      <c r="AH690" s="300" t="s">
        <v>19</v>
      </c>
      <c r="AI690" s="301" t="s">
        <v>154</v>
      </c>
      <c r="AJ690" s="221"/>
      <c r="AK690" s="221"/>
      <c r="AL690" s="221"/>
      <c r="AM690" s="221"/>
      <c r="AN690" s="221"/>
      <c r="AO690" s="221"/>
      <c r="AP690" s="302" t="s">
        <v>19</v>
      </c>
      <c r="AQ690" s="195">
        <f>SUM(AT690,AW690,AZ690,BC690,BF690,BI690,BL690)</f>
        <v>47282.193085700499</v>
      </c>
      <c r="AR690" s="197">
        <f>SUM(AT690,AX690,BA690,BD690,BG690,BJ690,BM690)</f>
        <v>0</v>
      </c>
      <c r="AS690" s="195">
        <f>AQ690-AR690</f>
        <v>47282.193085700499</v>
      </c>
      <c r="AT690" s="312"/>
      <c r="AU690" s="312"/>
      <c r="AV690" s="244"/>
      <c r="AW690" s="159">
        <v>47282.193085700499</v>
      </c>
      <c r="AX690" s="312"/>
      <c r="AY690" s="194">
        <f>AW690-AX690</f>
        <v>47282.193085700499</v>
      </c>
      <c r="AZ690" s="160"/>
      <c r="BA690" s="312"/>
      <c r="BB690" s="194">
        <f>AZ690-BA690</f>
        <v>0</v>
      </c>
      <c r="BC690" s="159"/>
      <c r="BD690" s="312"/>
      <c r="BE690" s="194">
        <f>BC690-BD690</f>
        <v>0</v>
      </c>
      <c r="BF690" s="159"/>
      <c r="BG690" s="244"/>
      <c r="BH690" s="194">
        <f>BF690-BG690</f>
        <v>0</v>
      </c>
      <c r="BI690" s="159"/>
      <c r="BJ690" s="244"/>
      <c r="BK690" s="194">
        <f>BI690-BJ690</f>
        <v>0</v>
      </c>
      <c r="BL690" s="312"/>
      <c r="BM690" s="312"/>
      <c r="BN690" s="195">
        <f>BL690-BM690</f>
        <v>0</v>
      </c>
      <c r="BO690" s="251">
        <v>0</v>
      </c>
      <c r="BP690" s="364"/>
      <c r="BQ690" s="364"/>
      <c r="BR690" s="364"/>
      <c r="BS690" s="249" t="str">
        <f>AG690 &amp; BO690</f>
        <v>Амортизационные отчисления0</v>
      </c>
      <c r="BT690" s="364"/>
      <c r="BU690" s="364"/>
      <c r="BV690" s="364"/>
      <c r="BW690" s="364"/>
      <c r="BX690" s="364"/>
      <c r="BY690" s="249" t="str">
        <f>AG690&amp;AH690</f>
        <v>Амортизационные отчислениянет</v>
      </c>
      <c r="BZ690" s="250"/>
    </row>
    <row r="691" spans="3:78" ht="14.25">
      <c r="C691" s="97"/>
      <c r="D691" s="367"/>
      <c r="E691" s="370"/>
      <c r="F691" s="406"/>
      <c r="G691" s="376"/>
      <c r="H691" s="379"/>
      <c r="I691" s="382"/>
      <c r="J691" s="382"/>
      <c r="K691" s="385"/>
      <c r="L691" s="388"/>
      <c r="M691" s="391"/>
      <c r="N691" s="394"/>
      <c r="O691" s="397"/>
      <c r="P691" s="400"/>
      <c r="Q691" s="403"/>
      <c r="R691" s="362"/>
      <c r="S691" s="362"/>
      <c r="T691" s="362"/>
      <c r="U691" s="362"/>
      <c r="V691" s="362"/>
      <c r="W691" s="362"/>
      <c r="X691" s="362"/>
      <c r="Y691" s="362"/>
      <c r="Z691" s="362"/>
      <c r="AA691" s="362"/>
      <c r="AB691" s="362"/>
      <c r="AC691" s="362"/>
      <c r="AD691" s="362"/>
      <c r="AE691" s="322" t="s">
        <v>1240</v>
      </c>
      <c r="AF691" s="217" t="s">
        <v>118</v>
      </c>
      <c r="AG691" s="196" t="s">
        <v>223</v>
      </c>
      <c r="AH691" s="302" t="s">
        <v>19</v>
      </c>
      <c r="AI691" s="301" t="s">
        <v>154</v>
      </c>
      <c r="AJ691" s="221"/>
      <c r="AK691" s="221"/>
      <c r="AL691" s="221"/>
      <c r="AM691" s="221"/>
      <c r="AN691" s="221"/>
      <c r="AO691" s="221"/>
      <c r="AP691" s="302" t="s">
        <v>19</v>
      </c>
      <c r="AQ691" s="195">
        <f>SUM(AT691,AW691,AZ691,BC691,BF691,BI691,BL691)</f>
        <v>9456.4386171400984</v>
      </c>
      <c r="AR691" s="197">
        <f>SUM(AT691,AX691,BA691,BD691,BG691,BJ691,BM691)</f>
        <v>0</v>
      </c>
      <c r="AS691" s="195">
        <f>AQ691-AR691</f>
        <v>9456.4386171400984</v>
      </c>
      <c r="AT691" s="315"/>
      <c r="AU691" s="315"/>
      <c r="AV691" s="241"/>
      <c r="AW691" s="198">
        <f>56738.6317028406-AW690</f>
        <v>9456.4386171400984</v>
      </c>
      <c r="AX691" s="313"/>
      <c r="AY691" s="199">
        <f>AW691-AX691</f>
        <v>9456.4386171400984</v>
      </c>
      <c r="AZ691" s="173"/>
      <c r="BA691" s="313"/>
      <c r="BB691" s="199">
        <f>AZ691-BA691</f>
        <v>0</v>
      </c>
      <c r="BC691" s="198"/>
      <c r="BD691" s="313"/>
      <c r="BE691" s="199">
        <f>BC691-BD691</f>
        <v>0</v>
      </c>
      <c r="BF691" s="198"/>
      <c r="BG691" s="241"/>
      <c r="BH691" s="199">
        <f>BF691-BG691</f>
        <v>0</v>
      </c>
      <c r="BI691" s="198"/>
      <c r="BJ691" s="241"/>
      <c r="BK691" s="199">
        <f>BI691-BJ691</f>
        <v>0</v>
      </c>
      <c r="BL691" s="313"/>
      <c r="BM691" s="313"/>
      <c r="BN691" s="195">
        <f>BL691-BM691</f>
        <v>0</v>
      </c>
      <c r="BO691" s="251">
        <v>0</v>
      </c>
      <c r="BP691" s="364"/>
      <c r="BQ691" s="364"/>
      <c r="BR691" s="364"/>
      <c r="BS691" s="249" t="str">
        <f>AG691 &amp; BO691</f>
        <v>Прочие собственные средства0</v>
      </c>
      <c r="BT691" s="364"/>
      <c r="BU691" s="364"/>
      <c r="BV691" s="364"/>
      <c r="BW691" s="364"/>
      <c r="BX691" s="364"/>
      <c r="BY691" s="249" t="str">
        <f>AG691&amp;AH691</f>
        <v>Прочие собственные средстванет</v>
      </c>
      <c r="BZ691" s="250"/>
    </row>
    <row r="692" spans="3:78" ht="15" customHeight="1">
      <c r="C692" s="306"/>
      <c r="D692" s="367"/>
      <c r="E692" s="370"/>
      <c r="F692" s="406"/>
      <c r="G692" s="376"/>
      <c r="H692" s="379"/>
      <c r="I692" s="382"/>
      <c r="J692" s="382"/>
      <c r="K692" s="385"/>
      <c r="L692" s="388"/>
      <c r="M692" s="391"/>
      <c r="N692" s="395"/>
      <c r="O692" s="398"/>
      <c r="P692" s="401"/>
      <c r="Q692" s="404"/>
      <c r="R692" s="363"/>
      <c r="S692" s="363"/>
      <c r="T692" s="363"/>
      <c r="U692" s="363"/>
      <c r="V692" s="363"/>
      <c r="W692" s="363"/>
      <c r="X692" s="363"/>
      <c r="Y692" s="363"/>
      <c r="Z692" s="363"/>
      <c r="AA692" s="363"/>
      <c r="AB692" s="363"/>
      <c r="AC692" s="363"/>
      <c r="AD692" s="363"/>
      <c r="AE692" s="279" t="s">
        <v>379</v>
      </c>
      <c r="AF692" s="203"/>
      <c r="AG692" s="223" t="s">
        <v>24</v>
      </c>
      <c r="AH692" s="223"/>
      <c r="AI692" s="223"/>
      <c r="AJ692" s="223"/>
      <c r="AK692" s="223"/>
      <c r="AL692" s="223"/>
      <c r="AM692" s="223"/>
      <c r="AN692" s="223"/>
      <c r="AO692" s="223"/>
      <c r="AP692" s="168"/>
      <c r="AQ692" s="169"/>
      <c r="AR692" s="169"/>
      <c r="AS692" s="169"/>
      <c r="AT692" s="169"/>
      <c r="AU692" s="169"/>
      <c r="AV692" s="169"/>
      <c r="AW692" s="169"/>
      <c r="AX692" s="169"/>
      <c r="AY692" s="169"/>
      <c r="AZ692" s="169"/>
      <c r="BA692" s="169"/>
      <c r="BB692" s="169"/>
      <c r="BC692" s="169"/>
      <c r="BD692" s="169"/>
      <c r="BE692" s="169"/>
      <c r="BF692" s="169"/>
      <c r="BG692" s="169"/>
      <c r="BH692" s="169"/>
      <c r="BI692" s="169"/>
      <c r="BJ692" s="169"/>
      <c r="BK692" s="169"/>
      <c r="BL692" s="169"/>
      <c r="BM692" s="169"/>
      <c r="BN692" s="170"/>
      <c r="BO692" s="251"/>
      <c r="BP692" s="364"/>
      <c r="BQ692" s="364"/>
      <c r="BR692" s="364"/>
      <c r="BS692" s="250"/>
      <c r="BT692" s="364"/>
      <c r="BU692" s="364"/>
      <c r="BV692" s="364"/>
      <c r="BW692" s="364"/>
      <c r="BX692" s="364"/>
      <c r="BY692" s="250"/>
    </row>
    <row r="693" spans="3:78" ht="15" customHeight="1" thickBot="1">
      <c r="C693" s="307"/>
      <c r="D693" s="368"/>
      <c r="E693" s="371"/>
      <c r="F693" s="407"/>
      <c r="G693" s="377"/>
      <c r="H693" s="380"/>
      <c r="I693" s="383"/>
      <c r="J693" s="383"/>
      <c r="K693" s="386"/>
      <c r="L693" s="389"/>
      <c r="M693" s="392"/>
      <c r="N693" s="280" t="s">
        <v>380</v>
      </c>
      <c r="O693" s="212"/>
      <c r="P693" s="365" t="s">
        <v>154</v>
      </c>
      <c r="Q693" s="365"/>
      <c r="R693" s="171"/>
      <c r="S693" s="171"/>
      <c r="T693" s="166"/>
      <c r="U693" s="166"/>
      <c r="V693" s="166"/>
      <c r="W693" s="166"/>
      <c r="X693" s="166"/>
      <c r="Y693" s="166"/>
      <c r="Z693" s="166"/>
      <c r="AA693" s="166"/>
      <c r="AB693" s="166"/>
      <c r="AC693" s="166"/>
      <c r="AD693" s="166"/>
      <c r="AE693" s="166"/>
      <c r="AF693" s="166"/>
      <c r="AG693" s="166"/>
      <c r="AH693" s="166"/>
      <c r="AI693" s="166"/>
      <c r="AJ693" s="166"/>
      <c r="AK693" s="166"/>
      <c r="AL693" s="166"/>
      <c r="AM693" s="166"/>
      <c r="AN693" s="166"/>
      <c r="AO693" s="166"/>
      <c r="AP693" s="166"/>
      <c r="AQ693" s="166"/>
      <c r="AR693" s="166"/>
      <c r="AS693" s="166"/>
      <c r="AT693" s="166"/>
      <c r="AU693" s="166"/>
      <c r="AV693" s="166"/>
      <c r="AW693" s="166"/>
      <c r="AX693" s="166"/>
      <c r="AY693" s="166"/>
      <c r="AZ693" s="166"/>
      <c r="BA693" s="166"/>
      <c r="BB693" s="166"/>
      <c r="BC693" s="166"/>
      <c r="BD693" s="166"/>
      <c r="BE693" s="166"/>
      <c r="BF693" s="166"/>
      <c r="BG693" s="166"/>
      <c r="BH693" s="166"/>
      <c r="BI693" s="166"/>
      <c r="BJ693" s="166"/>
      <c r="BK693" s="166"/>
      <c r="BL693" s="166"/>
      <c r="BM693" s="166"/>
      <c r="BN693" s="167"/>
      <c r="BO693" s="251"/>
      <c r="BP693" s="250"/>
      <c r="BQ693" s="250"/>
      <c r="BR693" s="250"/>
      <c r="BS693" s="250"/>
      <c r="BT693" s="250"/>
      <c r="BU693" s="250"/>
      <c r="BY693" s="250"/>
    </row>
    <row r="694" spans="3:78" ht="11.25" customHeight="1">
      <c r="C694" s="97" t="s">
        <v>1240</v>
      </c>
      <c r="D694" s="366" t="s">
        <v>1406</v>
      </c>
      <c r="E694" s="369" t="s">
        <v>199</v>
      </c>
      <c r="F694" s="405" t="s">
        <v>209</v>
      </c>
      <c r="G694" s="375" t="s">
        <v>1424</v>
      </c>
      <c r="H694" s="378" t="s">
        <v>715</v>
      </c>
      <c r="I694" s="381" t="s">
        <v>715</v>
      </c>
      <c r="J694" s="381" t="s">
        <v>716</v>
      </c>
      <c r="K694" s="384">
        <v>2</v>
      </c>
      <c r="L694" s="387" t="s">
        <v>4</v>
      </c>
      <c r="M694" s="390">
        <v>0</v>
      </c>
      <c r="N694" s="163"/>
      <c r="O694" s="161"/>
      <c r="P694" s="161"/>
      <c r="Q694" s="161"/>
      <c r="R694" s="161"/>
      <c r="S694" s="161"/>
      <c r="T694" s="161"/>
      <c r="U694" s="161"/>
      <c r="V694" s="161"/>
      <c r="W694" s="161"/>
      <c r="X694" s="161"/>
      <c r="Y694" s="161"/>
      <c r="Z694" s="161"/>
      <c r="AA694" s="161"/>
      <c r="AB694" s="161"/>
      <c r="AC694" s="161"/>
      <c r="AD694" s="161"/>
      <c r="AE694" s="161"/>
      <c r="AF694" s="161"/>
      <c r="AG694" s="161"/>
      <c r="AH694" s="161"/>
      <c r="AI694" s="161"/>
      <c r="AJ694" s="161"/>
      <c r="AK694" s="161"/>
      <c r="AL694" s="161"/>
      <c r="AM694" s="161"/>
      <c r="AN694" s="161"/>
      <c r="AO694" s="161"/>
      <c r="AP694" s="161"/>
      <c r="AQ694" s="161"/>
      <c r="AR694" s="161"/>
      <c r="AS694" s="161"/>
      <c r="AT694" s="161"/>
      <c r="AU694" s="161"/>
      <c r="AV694" s="161"/>
      <c r="AW694" s="161"/>
      <c r="AX694" s="161"/>
      <c r="AY694" s="161"/>
      <c r="AZ694" s="161"/>
      <c r="BA694" s="161"/>
      <c r="BB694" s="161"/>
      <c r="BC694" s="161"/>
      <c r="BD694" s="161"/>
      <c r="BE694" s="161"/>
      <c r="BF694" s="161"/>
      <c r="BG694" s="161"/>
      <c r="BH694" s="161"/>
      <c r="BI694" s="161"/>
      <c r="BJ694" s="161"/>
      <c r="BK694" s="161"/>
      <c r="BL694" s="161"/>
      <c r="BM694" s="161"/>
      <c r="BN694" s="162"/>
      <c r="BO694" s="251"/>
      <c r="BP694" s="250"/>
      <c r="BQ694" s="250"/>
      <c r="BR694" s="250"/>
      <c r="BS694" s="250"/>
      <c r="BT694" s="250"/>
      <c r="BU694" s="250"/>
      <c r="BY694" s="250"/>
    </row>
    <row r="695" spans="3:78" ht="11.25" customHeight="1">
      <c r="C695" s="306"/>
      <c r="D695" s="367"/>
      <c r="E695" s="370"/>
      <c r="F695" s="406"/>
      <c r="G695" s="376"/>
      <c r="H695" s="379"/>
      <c r="I695" s="382"/>
      <c r="J695" s="382"/>
      <c r="K695" s="385"/>
      <c r="L695" s="388"/>
      <c r="M695" s="391"/>
      <c r="N695" s="393"/>
      <c r="O695" s="396">
        <v>1</v>
      </c>
      <c r="P695" s="399" t="s">
        <v>1297</v>
      </c>
      <c r="Q695" s="402"/>
      <c r="R695" s="361" t="s">
        <v>154</v>
      </c>
      <c r="S695" s="361" t="s">
        <v>154</v>
      </c>
      <c r="T695" s="361" t="s">
        <v>154</v>
      </c>
      <c r="U695" s="361" t="s">
        <v>154</v>
      </c>
      <c r="V695" s="361" t="s">
        <v>154</v>
      </c>
      <c r="W695" s="361" t="s">
        <v>154</v>
      </c>
      <c r="X695" s="361" t="s">
        <v>154</v>
      </c>
      <c r="Y695" s="361" t="s">
        <v>154</v>
      </c>
      <c r="Z695" s="361" t="s">
        <v>154</v>
      </c>
      <c r="AA695" s="361" t="s">
        <v>154</v>
      </c>
      <c r="AB695" s="361" t="s">
        <v>154</v>
      </c>
      <c r="AC695" s="361" t="s">
        <v>154</v>
      </c>
      <c r="AD695" s="361" t="s">
        <v>154</v>
      </c>
      <c r="AE695" s="209"/>
      <c r="AF695" s="220">
        <v>0</v>
      </c>
      <c r="AG695" s="219" t="s">
        <v>308</v>
      </c>
      <c r="AH695" s="219"/>
      <c r="AI695" s="219"/>
      <c r="AJ695" s="219"/>
      <c r="AK695" s="219"/>
      <c r="AL695" s="219"/>
      <c r="AM695" s="219"/>
      <c r="AN695" s="219"/>
      <c r="AO695" s="219"/>
      <c r="AP695" s="164"/>
      <c r="AQ695" s="164"/>
      <c r="AR695" s="164"/>
      <c r="AS695" s="164"/>
      <c r="AT695" s="164"/>
      <c r="AU695" s="164"/>
      <c r="AV695" s="164"/>
      <c r="AW695" s="164"/>
      <c r="AX695" s="164"/>
      <c r="AY695" s="164"/>
      <c r="AZ695" s="164"/>
      <c r="BA695" s="164"/>
      <c r="BB695" s="164"/>
      <c r="BC695" s="164"/>
      <c r="BD695" s="164"/>
      <c r="BE695" s="164"/>
      <c r="BF695" s="164"/>
      <c r="BG695" s="164"/>
      <c r="BH695" s="164"/>
      <c r="BI695" s="164"/>
      <c r="BJ695" s="164"/>
      <c r="BK695" s="164"/>
      <c r="BL695" s="164"/>
      <c r="BM695" s="164"/>
      <c r="BN695" s="165"/>
      <c r="BO695" s="251"/>
      <c r="BP695" s="364" t="s">
        <v>1298</v>
      </c>
      <c r="BQ695" s="364" t="s">
        <v>1298</v>
      </c>
      <c r="BR695" s="364" t="s">
        <v>1298</v>
      </c>
      <c r="BS695" s="250"/>
      <c r="BT695" s="364" t="s">
        <v>1298</v>
      </c>
      <c r="BU695" s="364" t="s">
        <v>1298</v>
      </c>
      <c r="BV695" s="364" t="s">
        <v>1298</v>
      </c>
      <c r="BW695" s="364" t="s">
        <v>1298</v>
      </c>
      <c r="BX695" s="364" t="s">
        <v>1298</v>
      </c>
      <c r="BY695" s="250"/>
    </row>
    <row r="696" spans="3:78" ht="14.25">
      <c r="C696" s="306"/>
      <c r="D696" s="367"/>
      <c r="E696" s="370"/>
      <c r="F696" s="406"/>
      <c r="G696" s="376"/>
      <c r="H696" s="379"/>
      <c r="I696" s="382"/>
      <c r="J696" s="382"/>
      <c r="K696" s="385"/>
      <c r="L696" s="388"/>
      <c r="M696" s="391"/>
      <c r="N696" s="394"/>
      <c r="O696" s="397"/>
      <c r="P696" s="400"/>
      <c r="Q696" s="403"/>
      <c r="R696" s="362"/>
      <c r="S696" s="362"/>
      <c r="T696" s="362"/>
      <c r="U696" s="362"/>
      <c r="V696" s="362"/>
      <c r="W696" s="362"/>
      <c r="X696" s="362"/>
      <c r="Y696" s="362"/>
      <c r="Z696" s="362"/>
      <c r="AA696" s="362"/>
      <c r="AB696" s="362"/>
      <c r="AC696" s="362"/>
      <c r="AD696" s="362"/>
      <c r="AE696" s="193"/>
      <c r="AF696" s="217" t="s">
        <v>268</v>
      </c>
      <c r="AG696" s="158" t="s">
        <v>221</v>
      </c>
      <c r="AH696" s="300" t="s">
        <v>19</v>
      </c>
      <c r="AI696" s="301" t="s">
        <v>154</v>
      </c>
      <c r="AJ696" s="221"/>
      <c r="AK696" s="221"/>
      <c r="AL696" s="221"/>
      <c r="AM696" s="221"/>
      <c r="AN696" s="221"/>
      <c r="AO696" s="221"/>
      <c r="AP696" s="302" t="s">
        <v>19</v>
      </c>
      <c r="AQ696" s="195">
        <f>SUM(AT696,AW696,AZ696,BC696,BF696,BI696,BL696)</f>
        <v>35227.224818088835</v>
      </c>
      <c r="AR696" s="197">
        <f>SUM(AT696,AX696,BA696,BD696,BG696,BJ696,BM696)</f>
        <v>0</v>
      </c>
      <c r="AS696" s="195">
        <f>AQ696-AR696</f>
        <v>35227.224818088835</v>
      </c>
      <c r="AT696" s="312"/>
      <c r="AU696" s="312"/>
      <c r="AV696" s="244"/>
      <c r="AW696" s="159">
        <v>1746.8700326999999</v>
      </c>
      <c r="AX696" s="312"/>
      <c r="AY696" s="194">
        <f>AW696-AX696</f>
        <v>1746.8700326999999</v>
      </c>
      <c r="AZ696" s="160">
        <v>33480.354785388838</v>
      </c>
      <c r="BA696" s="312"/>
      <c r="BB696" s="194">
        <f>AZ696-BA696</f>
        <v>33480.354785388838</v>
      </c>
      <c r="BC696" s="159"/>
      <c r="BD696" s="312"/>
      <c r="BE696" s="194">
        <f>BC696-BD696</f>
        <v>0</v>
      </c>
      <c r="BF696" s="159"/>
      <c r="BG696" s="244"/>
      <c r="BH696" s="194">
        <f>BF696-BG696</f>
        <v>0</v>
      </c>
      <c r="BI696" s="159"/>
      <c r="BJ696" s="244"/>
      <c r="BK696" s="194">
        <f>BI696-BJ696</f>
        <v>0</v>
      </c>
      <c r="BL696" s="312"/>
      <c r="BM696" s="312"/>
      <c r="BN696" s="195">
        <f>BL696-BM696</f>
        <v>0</v>
      </c>
      <c r="BO696" s="251">
        <v>0</v>
      </c>
      <c r="BP696" s="364"/>
      <c r="BQ696" s="364"/>
      <c r="BR696" s="364"/>
      <c r="BS696" s="249" t="str">
        <f>AG696 &amp; BO696</f>
        <v>Амортизационные отчисления0</v>
      </c>
      <c r="BT696" s="364"/>
      <c r="BU696" s="364"/>
      <c r="BV696" s="364"/>
      <c r="BW696" s="364"/>
      <c r="BX696" s="364"/>
      <c r="BY696" s="249" t="str">
        <f>AG696&amp;AH696</f>
        <v>Амортизационные отчислениянет</v>
      </c>
      <c r="BZ696" s="250"/>
    </row>
    <row r="697" spans="3:78" ht="14.25">
      <c r="C697" s="97"/>
      <c r="D697" s="367"/>
      <c r="E697" s="370"/>
      <c r="F697" s="406"/>
      <c r="G697" s="376"/>
      <c r="H697" s="379"/>
      <c r="I697" s="382"/>
      <c r="J697" s="382"/>
      <c r="K697" s="385"/>
      <c r="L697" s="388"/>
      <c r="M697" s="391"/>
      <c r="N697" s="394"/>
      <c r="O697" s="397"/>
      <c r="P697" s="400"/>
      <c r="Q697" s="403"/>
      <c r="R697" s="362"/>
      <c r="S697" s="362"/>
      <c r="T697" s="362"/>
      <c r="U697" s="362"/>
      <c r="V697" s="362"/>
      <c r="W697" s="362"/>
      <c r="X697" s="362"/>
      <c r="Y697" s="362"/>
      <c r="Z697" s="362"/>
      <c r="AA697" s="362"/>
      <c r="AB697" s="362"/>
      <c r="AC697" s="362"/>
      <c r="AD697" s="362"/>
      <c r="AE697" s="322" t="s">
        <v>1240</v>
      </c>
      <c r="AF697" s="217" t="s">
        <v>118</v>
      </c>
      <c r="AG697" s="196" t="s">
        <v>223</v>
      </c>
      <c r="AH697" s="302" t="s">
        <v>19</v>
      </c>
      <c r="AI697" s="301" t="s">
        <v>154</v>
      </c>
      <c r="AJ697" s="221"/>
      <c r="AK697" s="221"/>
      <c r="AL697" s="221"/>
      <c r="AM697" s="221"/>
      <c r="AN697" s="221"/>
      <c r="AO697" s="221"/>
      <c r="AP697" s="302" t="s">
        <v>19</v>
      </c>
      <c r="AQ697" s="195">
        <f>SUM(AT697,AW697,AZ697,BC697,BF697,BI697,BL697)</f>
        <v>7045.4449636177615</v>
      </c>
      <c r="AR697" s="197">
        <f>SUM(AT697,AX697,BA697,BD697,BG697,BJ697,BM697)</f>
        <v>0</v>
      </c>
      <c r="AS697" s="195">
        <f>AQ697-AR697</f>
        <v>7045.4449636177615</v>
      </c>
      <c r="AT697" s="315"/>
      <c r="AU697" s="315"/>
      <c r="AV697" s="241"/>
      <c r="AW697" s="198">
        <f>2096.24403924-AW696</f>
        <v>349.37400653999998</v>
      </c>
      <c r="AX697" s="313"/>
      <c r="AY697" s="199">
        <f>AW697-AX697</f>
        <v>349.37400653999998</v>
      </c>
      <c r="AZ697" s="173">
        <f>40176.4257424666-AZ696</f>
        <v>6696.0709570777617</v>
      </c>
      <c r="BA697" s="313"/>
      <c r="BB697" s="199">
        <f>AZ697-BA697</f>
        <v>6696.0709570777617</v>
      </c>
      <c r="BC697" s="198"/>
      <c r="BD697" s="313"/>
      <c r="BE697" s="199">
        <f>BC697-BD697</f>
        <v>0</v>
      </c>
      <c r="BF697" s="198"/>
      <c r="BG697" s="241"/>
      <c r="BH697" s="199">
        <f>BF697-BG697</f>
        <v>0</v>
      </c>
      <c r="BI697" s="198"/>
      <c r="BJ697" s="241"/>
      <c r="BK697" s="199">
        <f>BI697-BJ697</f>
        <v>0</v>
      </c>
      <c r="BL697" s="313"/>
      <c r="BM697" s="313"/>
      <c r="BN697" s="195">
        <f>BL697-BM697</f>
        <v>0</v>
      </c>
      <c r="BO697" s="251">
        <v>0</v>
      </c>
      <c r="BP697" s="364"/>
      <c r="BQ697" s="364"/>
      <c r="BR697" s="364"/>
      <c r="BS697" s="249" t="str">
        <f>AG697 &amp; BO697</f>
        <v>Прочие собственные средства0</v>
      </c>
      <c r="BT697" s="364"/>
      <c r="BU697" s="364"/>
      <c r="BV697" s="364"/>
      <c r="BW697" s="364"/>
      <c r="BX697" s="364"/>
      <c r="BY697" s="249" t="str">
        <f>AG697&amp;AH697</f>
        <v>Прочие собственные средстванет</v>
      </c>
      <c r="BZ697" s="250"/>
    </row>
    <row r="698" spans="3:78" ht="15" customHeight="1">
      <c r="C698" s="306"/>
      <c r="D698" s="367"/>
      <c r="E698" s="370"/>
      <c r="F698" s="406"/>
      <c r="G698" s="376"/>
      <c r="H698" s="379"/>
      <c r="I698" s="382"/>
      <c r="J698" s="382"/>
      <c r="K698" s="385"/>
      <c r="L698" s="388"/>
      <c r="M698" s="391"/>
      <c r="N698" s="395"/>
      <c r="O698" s="398"/>
      <c r="P698" s="401"/>
      <c r="Q698" s="404"/>
      <c r="R698" s="363"/>
      <c r="S698" s="363"/>
      <c r="T698" s="363"/>
      <c r="U698" s="363"/>
      <c r="V698" s="363"/>
      <c r="W698" s="363"/>
      <c r="X698" s="363"/>
      <c r="Y698" s="363"/>
      <c r="Z698" s="363"/>
      <c r="AA698" s="363"/>
      <c r="AB698" s="363"/>
      <c r="AC698" s="363"/>
      <c r="AD698" s="363"/>
      <c r="AE698" s="279" t="s">
        <v>379</v>
      </c>
      <c r="AF698" s="203"/>
      <c r="AG698" s="223" t="s">
        <v>24</v>
      </c>
      <c r="AH698" s="223"/>
      <c r="AI698" s="223"/>
      <c r="AJ698" s="223"/>
      <c r="AK698" s="223"/>
      <c r="AL698" s="223"/>
      <c r="AM698" s="223"/>
      <c r="AN698" s="223"/>
      <c r="AO698" s="223"/>
      <c r="AP698" s="168"/>
      <c r="AQ698" s="169"/>
      <c r="AR698" s="169"/>
      <c r="AS698" s="169"/>
      <c r="AT698" s="169"/>
      <c r="AU698" s="169"/>
      <c r="AV698" s="169"/>
      <c r="AW698" s="169"/>
      <c r="AX698" s="169"/>
      <c r="AY698" s="169"/>
      <c r="AZ698" s="169"/>
      <c r="BA698" s="169"/>
      <c r="BB698" s="169"/>
      <c r="BC698" s="169"/>
      <c r="BD698" s="169"/>
      <c r="BE698" s="169"/>
      <c r="BF698" s="169"/>
      <c r="BG698" s="169"/>
      <c r="BH698" s="169"/>
      <c r="BI698" s="169"/>
      <c r="BJ698" s="169"/>
      <c r="BK698" s="169"/>
      <c r="BL698" s="169"/>
      <c r="BM698" s="169"/>
      <c r="BN698" s="170"/>
      <c r="BO698" s="251"/>
      <c r="BP698" s="364"/>
      <c r="BQ698" s="364"/>
      <c r="BR698" s="364"/>
      <c r="BS698" s="250"/>
      <c r="BT698" s="364"/>
      <c r="BU698" s="364"/>
      <c r="BV698" s="364"/>
      <c r="BW698" s="364"/>
      <c r="BX698" s="364"/>
      <c r="BY698" s="250"/>
    </row>
    <row r="699" spans="3:78" ht="15" customHeight="1" thickBot="1">
      <c r="C699" s="307"/>
      <c r="D699" s="368"/>
      <c r="E699" s="371"/>
      <c r="F699" s="407"/>
      <c r="G699" s="377"/>
      <c r="H699" s="380"/>
      <c r="I699" s="383"/>
      <c r="J699" s="383"/>
      <c r="K699" s="386"/>
      <c r="L699" s="389"/>
      <c r="M699" s="392"/>
      <c r="N699" s="280" t="s">
        <v>380</v>
      </c>
      <c r="O699" s="212"/>
      <c r="P699" s="365" t="s">
        <v>154</v>
      </c>
      <c r="Q699" s="365"/>
      <c r="R699" s="171"/>
      <c r="S699" s="171"/>
      <c r="T699" s="166"/>
      <c r="U699" s="166"/>
      <c r="V699" s="166"/>
      <c r="W699" s="166"/>
      <c r="X699" s="166"/>
      <c r="Y699" s="166"/>
      <c r="Z699" s="166"/>
      <c r="AA699" s="166"/>
      <c r="AB699" s="166"/>
      <c r="AC699" s="166"/>
      <c r="AD699" s="166"/>
      <c r="AE699" s="166"/>
      <c r="AF699" s="166"/>
      <c r="AG699" s="166"/>
      <c r="AH699" s="166"/>
      <c r="AI699" s="166"/>
      <c r="AJ699" s="166"/>
      <c r="AK699" s="166"/>
      <c r="AL699" s="166"/>
      <c r="AM699" s="166"/>
      <c r="AN699" s="166"/>
      <c r="AO699" s="166"/>
      <c r="AP699" s="166"/>
      <c r="AQ699" s="166"/>
      <c r="AR699" s="166"/>
      <c r="AS699" s="166"/>
      <c r="AT699" s="166"/>
      <c r="AU699" s="166"/>
      <c r="AV699" s="166"/>
      <c r="AW699" s="166"/>
      <c r="AX699" s="166"/>
      <c r="AY699" s="166"/>
      <c r="AZ699" s="166"/>
      <c r="BA699" s="166"/>
      <c r="BB699" s="166"/>
      <c r="BC699" s="166"/>
      <c r="BD699" s="166"/>
      <c r="BE699" s="166"/>
      <c r="BF699" s="166"/>
      <c r="BG699" s="166"/>
      <c r="BH699" s="166"/>
      <c r="BI699" s="166"/>
      <c r="BJ699" s="166"/>
      <c r="BK699" s="166"/>
      <c r="BL699" s="166"/>
      <c r="BM699" s="166"/>
      <c r="BN699" s="167"/>
      <c r="BO699" s="251"/>
      <c r="BP699" s="250"/>
      <c r="BQ699" s="250"/>
      <c r="BR699" s="250"/>
      <c r="BS699" s="250"/>
      <c r="BT699" s="250"/>
      <c r="BU699" s="250"/>
      <c r="BY699" s="250"/>
    </row>
    <row r="700" spans="3:78" ht="11.25" customHeight="1">
      <c r="C700" s="97" t="s">
        <v>1240</v>
      </c>
      <c r="D700" s="366" t="s">
        <v>1425</v>
      </c>
      <c r="E700" s="369" t="s">
        <v>199</v>
      </c>
      <c r="F700" s="405" t="s">
        <v>209</v>
      </c>
      <c r="G700" s="375" t="s">
        <v>1446</v>
      </c>
      <c r="H700" s="378" t="s">
        <v>715</v>
      </c>
      <c r="I700" s="381" t="s">
        <v>715</v>
      </c>
      <c r="J700" s="381" t="s">
        <v>716</v>
      </c>
      <c r="K700" s="384">
        <v>2</v>
      </c>
      <c r="L700" s="387" t="s">
        <v>5</v>
      </c>
      <c r="M700" s="390">
        <v>0</v>
      </c>
      <c r="N700" s="163"/>
      <c r="O700" s="161"/>
      <c r="P700" s="161"/>
      <c r="Q700" s="161"/>
      <c r="R700" s="161"/>
      <c r="S700" s="161"/>
      <c r="T700" s="161"/>
      <c r="U700" s="161"/>
      <c r="V700" s="161"/>
      <c r="W700" s="161"/>
      <c r="X700" s="161"/>
      <c r="Y700" s="161"/>
      <c r="Z700" s="161"/>
      <c r="AA700" s="161"/>
      <c r="AB700" s="161"/>
      <c r="AC700" s="161"/>
      <c r="AD700" s="161"/>
      <c r="AE700" s="161"/>
      <c r="AF700" s="161"/>
      <c r="AG700" s="161"/>
      <c r="AH700" s="161"/>
      <c r="AI700" s="161"/>
      <c r="AJ700" s="161"/>
      <c r="AK700" s="161"/>
      <c r="AL700" s="161"/>
      <c r="AM700" s="161"/>
      <c r="AN700" s="161"/>
      <c r="AO700" s="161"/>
      <c r="AP700" s="161"/>
      <c r="AQ700" s="161"/>
      <c r="AR700" s="161"/>
      <c r="AS700" s="161"/>
      <c r="AT700" s="161"/>
      <c r="AU700" s="161"/>
      <c r="AV700" s="161"/>
      <c r="AW700" s="161"/>
      <c r="AX700" s="161"/>
      <c r="AY700" s="161"/>
      <c r="AZ700" s="161"/>
      <c r="BA700" s="161"/>
      <c r="BB700" s="161"/>
      <c r="BC700" s="161"/>
      <c r="BD700" s="161"/>
      <c r="BE700" s="161"/>
      <c r="BF700" s="161"/>
      <c r="BG700" s="161"/>
      <c r="BH700" s="161"/>
      <c r="BI700" s="161"/>
      <c r="BJ700" s="161"/>
      <c r="BK700" s="161"/>
      <c r="BL700" s="161"/>
      <c r="BM700" s="161"/>
      <c r="BN700" s="162"/>
      <c r="BO700" s="251"/>
      <c r="BP700" s="250"/>
      <c r="BQ700" s="250"/>
      <c r="BR700" s="250"/>
      <c r="BS700" s="250"/>
      <c r="BT700" s="250"/>
      <c r="BU700" s="250"/>
      <c r="BY700" s="250"/>
    </row>
    <row r="701" spans="3:78" ht="11.25" customHeight="1">
      <c r="C701" s="306"/>
      <c r="D701" s="367"/>
      <c r="E701" s="370"/>
      <c r="F701" s="406"/>
      <c r="G701" s="376"/>
      <c r="H701" s="379"/>
      <c r="I701" s="382"/>
      <c r="J701" s="382"/>
      <c r="K701" s="385"/>
      <c r="L701" s="388"/>
      <c r="M701" s="391"/>
      <c r="N701" s="393"/>
      <c r="O701" s="396">
        <v>1</v>
      </c>
      <c r="P701" s="399" t="s">
        <v>1297</v>
      </c>
      <c r="Q701" s="402"/>
      <c r="R701" s="361" t="s">
        <v>154</v>
      </c>
      <c r="S701" s="361" t="s">
        <v>154</v>
      </c>
      <c r="T701" s="361" t="s">
        <v>154</v>
      </c>
      <c r="U701" s="361" t="s">
        <v>154</v>
      </c>
      <c r="V701" s="361" t="s">
        <v>154</v>
      </c>
      <c r="W701" s="361" t="s">
        <v>154</v>
      </c>
      <c r="X701" s="361" t="s">
        <v>154</v>
      </c>
      <c r="Y701" s="361" t="s">
        <v>154</v>
      </c>
      <c r="Z701" s="361" t="s">
        <v>154</v>
      </c>
      <c r="AA701" s="361" t="s">
        <v>154</v>
      </c>
      <c r="AB701" s="361" t="s">
        <v>154</v>
      </c>
      <c r="AC701" s="361" t="s">
        <v>154</v>
      </c>
      <c r="AD701" s="361" t="s">
        <v>154</v>
      </c>
      <c r="AE701" s="209"/>
      <c r="AF701" s="220">
        <v>0</v>
      </c>
      <c r="AG701" s="219" t="s">
        <v>308</v>
      </c>
      <c r="AH701" s="219"/>
      <c r="AI701" s="219"/>
      <c r="AJ701" s="219"/>
      <c r="AK701" s="219"/>
      <c r="AL701" s="219"/>
      <c r="AM701" s="219"/>
      <c r="AN701" s="219"/>
      <c r="AO701" s="219"/>
      <c r="AP701" s="164"/>
      <c r="AQ701" s="164"/>
      <c r="AR701" s="164"/>
      <c r="AS701" s="164"/>
      <c r="AT701" s="164"/>
      <c r="AU701" s="164"/>
      <c r="AV701" s="164"/>
      <c r="AW701" s="164"/>
      <c r="AX701" s="164"/>
      <c r="AY701" s="164"/>
      <c r="AZ701" s="164"/>
      <c r="BA701" s="164"/>
      <c r="BB701" s="164"/>
      <c r="BC701" s="164"/>
      <c r="BD701" s="164"/>
      <c r="BE701" s="164"/>
      <c r="BF701" s="164"/>
      <c r="BG701" s="164"/>
      <c r="BH701" s="164"/>
      <c r="BI701" s="164"/>
      <c r="BJ701" s="164"/>
      <c r="BK701" s="164"/>
      <c r="BL701" s="164"/>
      <c r="BM701" s="164"/>
      <c r="BN701" s="165"/>
      <c r="BO701" s="251"/>
      <c r="BP701" s="364" t="s">
        <v>1298</v>
      </c>
      <c r="BQ701" s="364" t="s">
        <v>1298</v>
      </c>
      <c r="BR701" s="364" t="s">
        <v>1298</v>
      </c>
      <c r="BS701" s="250"/>
      <c r="BT701" s="364" t="s">
        <v>1298</v>
      </c>
      <c r="BU701" s="364" t="s">
        <v>1298</v>
      </c>
      <c r="BV701" s="364" t="s">
        <v>1298</v>
      </c>
      <c r="BW701" s="364" t="s">
        <v>1298</v>
      </c>
      <c r="BX701" s="364" t="s">
        <v>1298</v>
      </c>
      <c r="BY701" s="250"/>
    </row>
    <row r="702" spans="3:78" ht="14.25">
      <c r="C702" s="306"/>
      <c r="D702" s="367"/>
      <c r="E702" s="370"/>
      <c r="F702" s="406"/>
      <c r="G702" s="376"/>
      <c r="H702" s="379"/>
      <c r="I702" s="382"/>
      <c r="J702" s="382"/>
      <c r="K702" s="385"/>
      <c r="L702" s="388"/>
      <c r="M702" s="391"/>
      <c r="N702" s="394"/>
      <c r="O702" s="397"/>
      <c r="P702" s="400"/>
      <c r="Q702" s="403"/>
      <c r="R702" s="362"/>
      <c r="S702" s="362"/>
      <c r="T702" s="362"/>
      <c r="U702" s="362"/>
      <c r="V702" s="362"/>
      <c r="W702" s="362"/>
      <c r="X702" s="362"/>
      <c r="Y702" s="362"/>
      <c r="Z702" s="362"/>
      <c r="AA702" s="362"/>
      <c r="AB702" s="362"/>
      <c r="AC702" s="362"/>
      <c r="AD702" s="362"/>
      <c r="AE702" s="193"/>
      <c r="AF702" s="217" t="s">
        <v>268</v>
      </c>
      <c r="AG702" s="158" t="s">
        <v>221</v>
      </c>
      <c r="AH702" s="300" t="s">
        <v>19</v>
      </c>
      <c r="AI702" s="301" t="s">
        <v>154</v>
      </c>
      <c r="AJ702" s="221"/>
      <c r="AK702" s="221"/>
      <c r="AL702" s="221"/>
      <c r="AM702" s="221"/>
      <c r="AN702" s="221"/>
      <c r="AO702" s="221"/>
      <c r="AP702" s="302" t="s">
        <v>19</v>
      </c>
      <c r="AQ702" s="195">
        <f>SUM(AT702,AW702,AZ702,BC702,BF702,BI702,BL702)</f>
        <v>35809.861259607111</v>
      </c>
      <c r="AR702" s="197">
        <f>SUM(AT702,AX702,BA702,BD702,BG702,BJ702,BM702)</f>
        <v>0</v>
      </c>
      <c r="AS702" s="195">
        <f>AQ702-AR702</f>
        <v>35809.861259607111</v>
      </c>
      <c r="AT702" s="312"/>
      <c r="AU702" s="312"/>
      <c r="AV702" s="244"/>
      <c r="AW702" s="159"/>
      <c r="AX702" s="312"/>
      <c r="AY702" s="194">
        <f>AW702-AX702</f>
        <v>0</v>
      </c>
      <c r="AZ702" s="160">
        <v>1843.6533735964501</v>
      </c>
      <c r="BA702" s="312"/>
      <c r="BB702" s="194">
        <f>AZ702-BA702</f>
        <v>1843.6533735964501</v>
      </c>
      <c r="BC702" s="159">
        <v>33966.207886010663</v>
      </c>
      <c r="BD702" s="312"/>
      <c r="BE702" s="194">
        <f>BC702-BD702</f>
        <v>33966.207886010663</v>
      </c>
      <c r="BF702" s="159"/>
      <c r="BG702" s="244"/>
      <c r="BH702" s="194">
        <f>BF702-BG702</f>
        <v>0</v>
      </c>
      <c r="BI702" s="159"/>
      <c r="BJ702" s="244"/>
      <c r="BK702" s="194">
        <f>BI702-BJ702</f>
        <v>0</v>
      </c>
      <c r="BL702" s="312"/>
      <c r="BM702" s="312"/>
      <c r="BN702" s="195">
        <f>BL702-BM702</f>
        <v>0</v>
      </c>
      <c r="BO702" s="251">
        <v>0</v>
      </c>
      <c r="BP702" s="364"/>
      <c r="BQ702" s="364"/>
      <c r="BR702" s="364"/>
      <c r="BS702" s="249" t="str">
        <f>AG702 &amp; BO702</f>
        <v>Амортизационные отчисления0</v>
      </c>
      <c r="BT702" s="364"/>
      <c r="BU702" s="364"/>
      <c r="BV702" s="364"/>
      <c r="BW702" s="364"/>
      <c r="BX702" s="364"/>
      <c r="BY702" s="249" t="str">
        <f>AG702&amp;AH702</f>
        <v>Амортизационные отчислениянет</v>
      </c>
      <c r="BZ702" s="250"/>
    </row>
    <row r="703" spans="3:78" ht="14.25">
      <c r="C703" s="97"/>
      <c r="D703" s="367"/>
      <c r="E703" s="370"/>
      <c r="F703" s="406"/>
      <c r="G703" s="376"/>
      <c r="H703" s="379"/>
      <c r="I703" s="382"/>
      <c r="J703" s="382"/>
      <c r="K703" s="385"/>
      <c r="L703" s="388"/>
      <c r="M703" s="391"/>
      <c r="N703" s="394"/>
      <c r="O703" s="397"/>
      <c r="P703" s="400"/>
      <c r="Q703" s="403"/>
      <c r="R703" s="362"/>
      <c r="S703" s="362"/>
      <c r="T703" s="362"/>
      <c r="U703" s="362"/>
      <c r="V703" s="362"/>
      <c r="W703" s="362"/>
      <c r="X703" s="362"/>
      <c r="Y703" s="362"/>
      <c r="Z703" s="362"/>
      <c r="AA703" s="362"/>
      <c r="AB703" s="362"/>
      <c r="AC703" s="362"/>
      <c r="AD703" s="362"/>
      <c r="AE703" s="322" t="s">
        <v>1240</v>
      </c>
      <c r="AF703" s="217" t="s">
        <v>118</v>
      </c>
      <c r="AG703" s="196" t="s">
        <v>223</v>
      </c>
      <c r="AH703" s="302" t="s">
        <v>19</v>
      </c>
      <c r="AI703" s="301" t="s">
        <v>154</v>
      </c>
      <c r="AJ703" s="221"/>
      <c r="AK703" s="221"/>
      <c r="AL703" s="221"/>
      <c r="AM703" s="221"/>
      <c r="AN703" s="221"/>
      <c r="AO703" s="221"/>
      <c r="AP703" s="302" t="s">
        <v>19</v>
      </c>
      <c r="AQ703" s="195">
        <f>SUM(AT703,AW703,AZ703,BC703,BF703,BI703,BL703)</f>
        <v>7161.9722519214238</v>
      </c>
      <c r="AR703" s="197">
        <f>SUM(AT703,AX703,BA703,BD703,BG703,BJ703,BM703)</f>
        <v>0</v>
      </c>
      <c r="AS703" s="195">
        <f>AQ703-AR703</f>
        <v>7161.9722519214238</v>
      </c>
      <c r="AT703" s="315"/>
      <c r="AU703" s="315"/>
      <c r="AV703" s="241"/>
      <c r="AW703" s="198"/>
      <c r="AX703" s="313"/>
      <c r="AY703" s="199">
        <f>AW703-AX703</f>
        <v>0</v>
      </c>
      <c r="AZ703" s="173">
        <f>2212.38404831574-AZ702</f>
        <v>368.73067471928994</v>
      </c>
      <c r="BA703" s="313"/>
      <c r="BB703" s="199">
        <f>AZ703-BA703</f>
        <v>368.73067471928994</v>
      </c>
      <c r="BC703" s="198">
        <f>40759.4494632128-BC702</f>
        <v>6793.2415772021341</v>
      </c>
      <c r="BD703" s="313"/>
      <c r="BE703" s="199">
        <f>BC703-BD703</f>
        <v>6793.2415772021341</v>
      </c>
      <c r="BF703" s="198"/>
      <c r="BG703" s="241"/>
      <c r="BH703" s="199">
        <f>BF703-BG703</f>
        <v>0</v>
      </c>
      <c r="BI703" s="198"/>
      <c r="BJ703" s="241"/>
      <c r="BK703" s="199">
        <f>BI703-BJ703</f>
        <v>0</v>
      </c>
      <c r="BL703" s="313"/>
      <c r="BM703" s="313"/>
      <c r="BN703" s="195">
        <f>BL703-BM703</f>
        <v>0</v>
      </c>
      <c r="BO703" s="251">
        <v>0</v>
      </c>
      <c r="BP703" s="364"/>
      <c r="BQ703" s="364"/>
      <c r="BR703" s="364"/>
      <c r="BS703" s="249" t="str">
        <f>AG703 &amp; BO703</f>
        <v>Прочие собственные средства0</v>
      </c>
      <c r="BT703" s="364"/>
      <c r="BU703" s="364"/>
      <c r="BV703" s="364"/>
      <c r="BW703" s="364"/>
      <c r="BX703" s="364"/>
      <c r="BY703" s="249" t="str">
        <f>AG703&amp;AH703</f>
        <v>Прочие собственные средстванет</v>
      </c>
      <c r="BZ703" s="250"/>
    </row>
    <row r="704" spans="3:78" ht="15" customHeight="1">
      <c r="C704" s="306"/>
      <c r="D704" s="367"/>
      <c r="E704" s="370"/>
      <c r="F704" s="406"/>
      <c r="G704" s="376"/>
      <c r="H704" s="379"/>
      <c r="I704" s="382"/>
      <c r="J704" s="382"/>
      <c r="K704" s="385"/>
      <c r="L704" s="388"/>
      <c r="M704" s="391"/>
      <c r="N704" s="395"/>
      <c r="O704" s="398"/>
      <c r="P704" s="401"/>
      <c r="Q704" s="404"/>
      <c r="R704" s="363"/>
      <c r="S704" s="363"/>
      <c r="T704" s="363"/>
      <c r="U704" s="363"/>
      <c r="V704" s="363"/>
      <c r="W704" s="363"/>
      <c r="X704" s="363"/>
      <c r="Y704" s="363"/>
      <c r="Z704" s="363"/>
      <c r="AA704" s="363"/>
      <c r="AB704" s="363"/>
      <c r="AC704" s="363"/>
      <c r="AD704" s="363"/>
      <c r="AE704" s="279" t="s">
        <v>379</v>
      </c>
      <c r="AF704" s="203"/>
      <c r="AG704" s="223" t="s">
        <v>24</v>
      </c>
      <c r="AH704" s="223"/>
      <c r="AI704" s="223"/>
      <c r="AJ704" s="223"/>
      <c r="AK704" s="223"/>
      <c r="AL704" s="223"/>
      <c r="AM704" s="223"/>
      <c r="AN704" s="223"/>
      <c r="AO704" s="223"/>
      <c r="AP704" s="168"/>
      <c r="AQ704" s="169"/>
      <c r="AR704" s="169"/>
      <c r="AS704" s="169"/>
      <c r="AT704" s="169"/>
      <c r="AU704" s="169"/>
      <c r="AV704" s="169"/>
      <c r="AW704" s="169"/>
      <c r="AX704" s="169"/>
      <c r="AY704" s="169"/>
      <c r="AZ704" s="169"/>
      <c r="BA704" s="169"/>
      <c r="BB704" s="169"/>
      <c r="BC704" s="169"/>
      <c r="BD704" s="169"/>
      <c r="BE704" s="169"/>
      <c r="BF704" s="169"/>
      <c r="BG704" s="169"/>
      <c r="BH704" s="169"/>
      <c r="BI704" s="169"/>
      <c r="BJ704" s="169"/>
      <c r="BK704" s="169"/>
      <c r="BL704" s="169"/>
      <c r="BM704" s="169"/>
      <c r="BN704" s="170"/>
      <c r="BO704" s="251"/>
      <c r="BP704" s="364"/>
      <c r="BQ704" s="364"/>
      <c r="BR704" s="364"/>
      <c r="BS704" s="250"/>
      <c r="BT704" s="364"/>
      <c r="BU704" s="364"/>
      <c r="BV704" s="364"/>
      <c r="BW704" s="364"/>
      <c r="BX704" s="364"/>
      <c r="BY704" s="250"/>
    </row>
    <row r="705" spans="3:78" ht="15" customHeight="1" thickBot="1">
      <c r="C705" s="307"/>
      <c r="D705" s="368"/>
      <c r="E705" s="371"/>
      <c r="F705" s="407"/>
      <c r="G705" s="377"/>
      <c r="H705" s="380"/>
      <c r="I705" s="383"/>
      <c r="J705" s="383"/>
      <c r="K705" s="386"/>
      <c r="L705" s="389"/>
      <c r="M705" s="392"/>
      <c r="N705" s="280" t="s">
        <v>380</v>
      </c>
      <c r="O705" s="212"/>
      <c r="P705" s="365" t="s">
        <v>154</v>
      </c>
      <c r="Q705" s="365"/>
      <c r="R705" s="171"/>
      <c r="S705" s="171"/>
      <c r="T705" s="166"/>
      <c r="U705" s="166"/>
      <c r="V705" s="166"/>
      <c r="W705" s="166"/>
      <c r="X705" s="166"/>
      <c r="Y705" s="166"/>
      <c r="Z705" s="166"/>
      <c r="AA705" s="166"/>
      <c r="AB705" s="166"/>
      <c r="AC705" s="166"/>
      <c r="AD705" s="166"/>
      <c r="AE705" s="166"/>
      <c r="AF705" s="166"/>
      <c r="AG705" s="166"/>
      <c r="AH705" s="166"/>
      <c r="AI705" s="166"/>
      <c r="AJ705" s="166"/>
      <c r="AK705" s="166"/>
      <c r="AL705" s="166"/>
      <c r="AM705" s="166"/>
      <c r="AN705" s="166"/>
      <c r="AO705" s="166"/>
      <c r="AP705" s="166"/>
      <c r="AQ705" s="166"/>
      <c r="AR705" s="166"/>
      <c r="AS705" s="166"/>
      <c r="AT705" s="166"/>
      <c r="AU705" s="166"/>
      <c r="AV705" s="166"/>
      <c r="AW705" s="166"/>
      <c r="AX705" s="166"/>
      <c r="AY705" s="166"/>
      <c r="AZ705" s="166"/>
      <c r="BA705" s="166"/>
      <c r="BB705" s="166"/>
      <c r="BC705" s="166"/>
      <c r="BD705" s="166"/>
      <c r="BE705" s="166"/>
      <c r="BF705" s="166"/>
      <c r="BG705" s="166"/>
      <c r="BH705" s="166"/>
      <c r="BI705" s="166"/>
      <c r="BJ705" s="166"/>
      <c r="BK705" s="166"/>
      <c r="BL705" s="166"/>
      <c r="BM705" s="166"/>
      <c r="BN705" s="167"/>
      <c r="BO705" s="251"/>
      <c r="BP705" s="250"/>
      <c r="BQ705" s="250"/>
      <c r="BR705" s="250"/>
      <c r="BS705" s="250"/>
      <c r="BT705" s="250"/>
      <c r="BU705" s="250"/>
      <c r="BY705" s="250"/>
    </row>
    <row r="706" spans="3:78" ht="11.25" customHeight="1">
      <c r="C706" s="97" t="s">
        <v>1240</v>
      </c>
      <c r="D706" s="366" t="s">
        <v>1426</v>
      </c>
      <c r="E706" s="369" t="s">
        <v>199</v>
      </c>
      <c r="F706" s="405" t="s">
        <v>209</v>
      </c>
      <c r="G706" s="375" t="s">
        <v>1447</v>
      </c>
      <c r="H706" s="378" t="s">
        <v>715</v>
      </c>
      <c r="I706" s="381" t="s">
        <v>715</v>
      </c>
      <c r="J706" s="381" t="s">
        <v>716</v>
      </c>
      <c r="K706" s="384">
        <v>1</v>
      </c>
      <c r="L706" s="387" t="s">
        <v>5</v>
      </c>
      <c r="M706" s="390">
        <v>0</v>
      </c>
      <c r="N706" s="163"/>
      <c r="O706" s="161"/>
      <c r="P706" s="161"/>
      <c r="Q706" s="161"/>
      <c r="R706" s="161"/>
      <c r="S706" s="161"/>
      <c r="T706" s="161"/>
      <c r="U706" s="161"/>
      <c r="V706" s="161"/>
      <c r="W706" s="161"/>
      <c r="X706" s="161"/>
      <c r="Y706" s="161"/>
      <c r="Z706" s="161"/>
      <c r="AA706" s="161"/>
      <c r="AB706" s="161"/>
      <c r="AC706" s="161"/>
      <c r="AD706" s="161"/>
      <c r="AE706" s="161"/>
      <c r="AF706" s="161"/>
      <c r="AG706" s="161"/>
      <c r="AH706" s="161"/>
      <c r="AI706" s="161"/>
      <c r="AJ706" s="161"/>
      <c r="AK706" s="161"/>
      <c r="AL706" s="161"/>
      <c r="AM706" s="161"/>
      <c r="AN706" s="161"/>
      <c r="AO706" s="161"/>
      <c r="AP706" s="161"/>
      <c r="AQ706" s="161"/>
      <c r="AR706" s="161"/>
      <c r="AS706" s="161"/>
      <c r="AT706" s="161"/>
      <c r="AU706" s="161"/>
      <c r="AV706" s="161"/>
      <c r="AW706" s="161"/>
      <c r="AX706" s="161"/>
      <c r="AY706" s="161"/>
      <c r="AZ706" s="161"/>
      <c r="BA706" s="161"/>
      <c r="BB706" s="161"/>
      <c r="BC706" s="161"/>
      <c r="BD706" s="161"/>
      <c r="BE706" s="161"/>
      <c r="BF706" s="161"/>
      <c r="BG706" s="161"/>
      <c r="BH706" s="161"/>
      <c r="BI706" s="161"/>
      <c r="BJ706" s="161"/>
      <c r="BK706" s="161"/>
      <c r="BL706" s="161"/>
      <c r="BM706" s="161"/>
      <c r="BN706" s="162"/>
      <c r="BO706" s="251"/>
      <c r="BP706" s="250"/>
      <c r="BQ706" s="250"/>
      <c r="BR706" s="250"/>
      <c r="BS706" s="250"/>
      <c r="BT706" s="250"/>
      <c r="BU706" s="250"/>
      <c r="BY706" s="250"/>
    </row>
    <row r="707" spans="3:78" ht="11.25" customHeight="1">
      <c r="C707" s="306"/>
      <c r="D707" s="367"/>
      <c r="E707" s="370"/>
      <c r="F707" s="406"/>
      <c r="G707" s="376"/>
      <c r="H707" s="379"/>
      <c r="I707" s="382"/>
      <c r="J707" s="382"/>
      <c r="K707" s="385"/>
      <c r="L707" s="388"/>
      <c r="M707" s="391"/>
      <c r="N707" s="393"/>
      <c r="O707" s="396">
        <v>1</v>
      </c>
      <c r="P707" s="399" t="s">
        <v>1297</v>
      </c>
      <c r="Q707" s="402"/>
      <c r="R707" s="361" t="s">
        <v>154</v>
      </c>
      <c r="S707" s="361" t="s">
        <v>154</v>
      </c>
      <c r="T707" s="361" t="s">
        <v>154</v>
      </c>
      <c r="U707" s="361" t="s">
        <v>154</v>
      </c>
      <c r="V707" s="361" t="s">
        <v>154</v>
      </c>
      <c r="W707" s="361" t="s">
        <v>154</v>
      </c>
      <c r="X707" s="361" t="s">
        <v>154</v>
      </c>
      <c r="Y707" s="361" t="s">
        <v>154</v>
      </c>
      <c r="Z707" s="361" t="s">
        <v>154</v>
      </c>
      <c r="AA707" s="361" t="s">
        <v>154</v>
      </c>
      <c r="AB707" s="361" t="s">
        <v>154</v>
      </c>
      <c r="AC707" s="361" t="s">
        <v>154</v>
      </c>
      <c r="AD707" s="361" t="s">
        <v>154</v>
      </c>
      <c r="AE707" s="209"/>
      <c r="AF707" s="220">
        <v>0</v>
      </c>
      <c r="AG707" s="219" t="s">
        <v>308</v>
      </c>
      <c r="AH707" s="219"/>
      <c r="AI707" s="219"/>
      <c r="AJ707" s="219"/>
      <c r="AK707" s="219"/>
      <c r="AL707" s="219"/>
      <c r="AM707" s="219"/>
      <c r="AN707" s="219"/>
      <c r="AO707" s="219"/>
      <c r="AP707" s="164"/>
      <c r="AQ707" s="164"/>
      <c r="AR707" s="164"/>
      <c r="AS707" s="164"/>
      <c r="AT707" s="164"/>
      <c r="AU707" s="164"/>
      <c r="AV707" s="164"/>
      <c r="AW707" s="164"/>
      <c r="AX707" s="164"/>
      <c r="AY707" s="164"/>
      <c r="AZ707" s="164"/>
      <c r="BA707" s="164"/>
      <c r="BB707" s="164"/>
      <c r="BC707" s="164"/>
      <c r="BD707" s="164"/>
      <c r="BE707" s="164"/>
      <c r="BF707" s="164"/>
      <c r="BG707" s="164"/>
      <c r="BH707" s="164"/>
      <c r="BI707" s="164"/>
      <c r="BJ707" s="164"/>
      <c r="BK707" s="164"/>
      <c r="BL707" s="164"/>
      <c r="BM707" s="164"/>
      <c r="BN707" s="165"/>
      <c r="BO707" s="251"/>
      <c r="BP707" s="364" t="s">
        <v>1298</v>
      </c>
      <c r="BQ707" s="364" t="s">
        <v>1298</v>
      </c>
      <c r="BR707" s="364" t="s">
        <v>1298</v>
      </c>
      <c r="BS707" s="250"/>
      <c r="BT707" s="364" t="s">
        <v>1298</v>
      </c>
      <c r="BU707" s="364" t="s">
        <v>1298</v>
      </c>
      <c r="BV707" s="364" t="s">
        <v>1298</v>
      </c>
      <c r="BW707" s="364" t="s">
        <v>1298</v>
      </c>
      <c r="BX707" s="364" t="s">
        <v>1298</v>
      </c>
      <c r="BY707" s="250"/>
    </row>
    <row r="708" spans="3:78" ht="14.25">
      <c r="C708" s="306"/>
      <c r="D708" s="367"/>
      <c r="E708" s="370"/>
      <c r="F708" s="406"/>
      <c r="G708" s="376"/>
      <c r="H708" s="379"/>
      <c r="I708" s="382"/>
      <c r="J708" s="382"/>
      <c r="K708" s="385"/>
      <c r="L708" s="388"/>
      <c r="M708" s="391"/>
      <c r="N708" s="394"/>
      <c r="O708" s="397"/>
      <c r="P708" s="400"/>
      <c r="Q708" s="403"/>
      <c r="R708" s="362"/>
      <c r="S708" s="362"/>
      <c r="T708" s="362"/>
      <c r="U708" s="362"/>
      <c r="V708" s="362"/>
      <c r="W708" s="362"/>
      <c r="X708" s="362"/>
      <c r="Y708" s="362"/>
      <c r="Z708" s="362"/>
      <c r="AA708" s="362"/>
      <c r="AB708" s="362"/>
      <c r="AC708" s="362"/>
      <c r="AD708" s="362"/>
      <c r="AE708" s="193"/>
      <c r="AF708" s="217" t="s">
        <v>268</v>
      </c>
      <c r="AG708" s="158" t="s">
        <v>221</v>
      </c>
      <c r="AH708" s="300" t="s">
        <v>19</v>
      </c>
      <c r="AI708" s="301" t="s">
        <v>154</v>
      </c>
      <c r="AJ708" s="221"/>
      <c r="AK708" s="221"/>
      <c r="AL708" s="221"/>
      <c r="AM708" s="221"/>
      <c r="AN708" s="221"/>
      <c r="AO708" s="221"/>
      <c r="AP708" s="302" t="s">
        <v>19</v>
      </c>
      <c r="AQ708" s="195">
        <f>SUM(AT708,AW708,AZ708,BC708,BF708,BI708,BL708)</f>
        <v>1607.73402778595</v>
      </c>
      <c r="AR708" s="197">
        <f>SUM(AT708,AX708,BA708,BD708,BG708,BJ708,BM708)</f>
        <v>0</v>
      </c>
      <c r="AS708" s="195">
        <f>AQ708-AR708</f>
        <v>1607.73402778595</v>
      </c>
      <c r="AT708" s="312"/>
      <c r="AU708" s="312"/>
      <c r="AV708" s="244"/>
      <c r="AW708" s="159"/>
      <c r="AX708" s="312"/>
      <c r="AY708" s="194">
        <f>AW708-AX708</f>
        <v>0</v>
      </c>
      <c r="AZ708" s="160"/>
      <c r="BA708" s="312"/>
      <c r="BB708" s="194">
        <f>AZ708-BA708</f>
        <v>0</v>
      </c>
      <c r="BC708" s="159">
        <v>1607.73402778595</v>
      </c>
      <c r="BD708" s="312"/>
      <c r="BE708" s="194">
        <f>BC708-BD708</f>
        <v>1607.73402778595</v>
      </c>
      <c r="BF708" s="159"/>
      <c r="BG708" s="244"/>
      <c r="BH708" s="194">
        <f>BF708-BG708</f>
        <v>0</v>
      </c>
      <c r="BI708" s="159"/>
      <c r="BJ708" s="244"/>
      <c r="BK708" s="194">
        <f>BI708-BJ708</f>
        <v>0</v>
      </c>
      <c r="BL708" s="312"/>
      <c r="BM708" s="312"/>
      <c r="BN708" s="195">
        <f>BL708-BM708</f>
        <v>0</v>
      </c>
      <c r="BO708" s="251">
        <v>0</v>
      </c>
      <c r="BP708" s="364"/>
      <c r="BQ708" s="364"/>
      <c r="BR708" s="364"/>
      <c r="BS708" s="249" t="str">
        <f>AG708 &amp; BO708</f>
        <v>Амортизационные отчисления0</v>
      </c>
      <c r="BT708" s="364"/>
      <c r="BU708" s="364"/>
      <c r="BV708" s="364"/>
      <c r="BW708" s="364"/>
      <c r="BX708" s="364"/>
      <c r="BY708" s="249" t="str">
        <f>AG708&amp;AH708</f>
        <v>Амортизационные отчислениянет</v>
      </c>
      <c r="BZ708" s="250"/>
    </row>
    <row r="709" spans="3:78" ht="14.25">
      <c r="C709" s="97"/>
      <c r="D709" s="367"/>
      <c r="E709" s="370"/>
      <c r="F709" s="406"/>
      <c r="G709" s="376"/>
      <c r="H709" s="379"/>
      <c r="I709" s="382"/>
      <c r="J709" s="382"/>
      <c r="K709" s="385"/>
      <c r="L709" s="388"/>
      <c r="M709" s="391"/>
      <c r="N709" s="394"/>
      <c r="O709" s="397"/>
      <c r="P709" s="400"/>
      <c r="Q709" s="403"/>
      <c r="R709" s="362"/>
      <c r="S709" s="362"/>
      <c r="T709" s="362"/>
      <c r="U709" s="362"/>
      <c r="V709" s="362"/>
      <c r="W709" s="362"/>
      <c r="X709" s="362"/>
      <c r="Y709" s="362"/>
      <c r="Z709" s="362"/>
      <c r="AA709" s="362"/>
      <c r="AB709" s="362"/>
      <c r="AC709" s="362"/>
      <c r="AD709" s="362"/>
      <c r="AE709" s="322" t="s">
        <v>1240</v>
      </c>
      <c r="AF709" s="217" t="s">
        <v>118</v>
      </c>
      <c r="AG709" s="196" t="s">
        <v>223</v>
      </c>
      <c r="AH709" s="302" t="s">
        <v>19</v>
      </c>
      <c r="AI709" s="301" t="s">
        <v>154</v>
      </c>
      <c r="AJ709" s="221"/>
      <c r="AK709" s="221"/>
      <c r="AL709" s="221"/>
      <c r="AM709" s="221"/>
      <c r="AN709" s="221"/>
      <c r="AO709" s="221"/>
      <c r="AP709" s="302" t="s">
        <v>19</v>
      </c>
      <c r="AQ709" s="195">
        <f>SUM(AT709,AW709,AZ709,BC709,BF709,BI709,BL709)</f>
        <v>321.54680555719005</v>
      </c>
      <c r="AR709" s="197">
        <f>SUM(AT709,AX709,BA709,BD709,BG709,BJ709,BM709)</f>
        <v>0</v>
      </c>
      <c r="AS709" s="195">
        <f>AQ709-AR709</f>
        <v>321.54680555719005</v>
      </c>
      <c r="AT709" s="315"/>
      <c r="AU709" s="315"/>
      <c r="AV709" s="241"/>
      <c r="AW709" s="198"/>
      <c r="AX709" s="313"/>
      <c r="AY709" s="199">
        <f>AW709-AX709</f>
        <v>0</v>
      </c>
      <c r="AZ709" s="173"/>
      <c r="BA709" s="313"/>
      <c r="BB709" s="199">
        <f>AZ709-BA709</f>
        <v>0</v>
      </c>
      <c r="BC709" s="198">
        <f>1929.28083334314-BC708</f>
        <v>321.54680555719005</v>
      </c>
      <c r="BD709" s="313"/>
      <c r="BE709" s="199">
        <f>BC709-BD709</f>
        <v>321.54680555719005</v>
      </c>
      <c r="BF709" s="198"/>
      <c r="BG709" s="241"/>
      <c r="BH709" s="199">
        <f>BF709-BG709</f>
        <v>0</v>
      </c>
      <c r="BI709" s="198"/>
      <c r="BJ709" s="241"/>
      <c r="BK709" s="199">
        <f>BI709-BJ709</f>
        <v>0</v>
      </c>
      <c r="BL709" s="313"/>
      <c r="BM709" s="313"/>
      <c r="BN709" s="195">
        <f>BL709-BM709</f>
        <v>0</v>
      </c>
      <c r="BO709" s="251">
        <v>0</v>
      </c>
      <c r="BP709" s="364"/>
      <c r="BQ709" s="364"/>
      <c r="BR709" s="364"/>
      <c r="BS709" s="249" t="str">
        <f>AG709 &amp; BO709</f>
        <v>Прочие собственные средства0</v>
      </c>
      <c r="BT709" s="364"/>
      <c r="BU709" s="364"/>
      <c r="BV709" s="364"/>
      <c r="BW709" s="364"/>
      <c r="BX709" s="364"/>
      <c r="BY709" s="249" t="str">
        <f>AG709&amp;AH709</f>
        <v>Прочие собственные средстванет</v>
      </c>
      <c r="BZ709" s="250"/>
    </row>
    <row r="710" spans="3:78" ht="15" customHeight="1">
      <c r="C710" s="306"/>
      <c r="D710" s="367"/>
      <c r="E710" s="370"/>
      <c r="F710" s="406"/>
      <c r="G710" s="376"/>
      <c r="H710" s="379"/>
      <c r="I710" s="382"/>
      <c r="J710" s="382"/>
      <c r="K710" s="385"/>
      <c r="L710" s="388"/>
      <c r="M710" s="391"/>
      <c r="N710" s="395"/>
      <c r="O710" s="398"/>
      <c r="P710" s="401"/>
      <c r="Q710" s="404"/>
      <c r="R710" s="363"/>
      <c r="S710" s="363"/>
      <c r="T710" s="363"/>
      <c r="U710" s="363"/>
      <c r="V710" s="363"/>
      <c r="W710" s="363"/>
      <c r="X710" s="363"/>
      <c r="Y710" s="363"/>
      <c r="Z710" s="363"/>
      <c r="AA710" s="363"/>
      <c r="AB710" s="363"/>
      <c r="AC710" s="363"/>
      <c r="AD710" s="363"/>
      <c r="AE710" s="279" t="s">
        <v>379</v>
      </c>
      <c r="AF710" s="203"/>
      <c r="AG710" s="223" t="s">
        <v>24</v>
      </c>
      <c r="AH710" s="223"/>
      <c r="AI710" s="223"/>
      <c r="AJ710" s="223"/>
      <c r="AK710" s="223"/>
      <c r="AL710" s="223"/>
      <c r="AM710" s="223"/>
      <c r="AN710" s="223"/>
      <c r="AO710" s="223"/>
      <c r="AP710" s="168"/>
      <c r="AQ710" s="169"/>
      <c r="AR710" s="169"/>
      <c r="AS710" s="169"/>
      <c r="AT710" s="169"/>
      <c r="AU710" s="169"/>
      <c r="AV710" s="169"/>
      <c r="AW710" s="169"/>
      <c r="AX710" s="169"/>
      <c r="AY710" s="169"/>
      <c r="AZ710" s="169"/>
      <c r="BA710" s="169"/>
      <c r="BB710" s="169"/>
      <c r="BC710" s="169"/>
      <c r="BD710" s="169"/>
      <c r="BE710" s="169"/>
      <c r="BF710" s="169"/>
      <c r="BG710" s="169"/>
      <c r="BH710" s="169"/>
      <c r="BI710" s="169"/>
      <c r="BJ710" s="169"/>
      <c r="BK710" s="169"/>
      <c r="BL710" s="169"/>
      <c r="BM710" s="169"/>
      <c r="BN710" s="170"/>
      <c r="BO710" s="251"/>
      <c r="BP710" s="364"/>
      <c r="BQ710" s="364"/>
      <c r="BR710" s="364"/>
      <c r="BS710" s="250"/>
      <c r="BT710" s="364"/>
      <c r="BU710" s="364"/>
      <c r="BV710" s="364"/>
      <c r="BW710" s="364"/>
      <c r="BX710" s="364"/>
      <c r="BY710" s="250"/>
    </row>
    <row r="711" spans="3:78" ht="15" customHeight="1" thickBot="1">
      <c r="C711" s="307"/>
      <c r="D711" s="368"/>
      <c r="E711" s="371"/>
      <c r="F711" s="407"/>
      <c r="G711" s="377"/>
      <c r="H711" s="380"/>
      <c r="I711" s="383"/>
      <c r="J711" s="383"/>
      <c r="K711" s="386"/>
      <c r="L711" s="389"/>
      <c r="M711" s="392"/>
      <c r="N711" s="280" t="s">
        <v>380</v>
      </c>
      <c r="O711" s="212"/>
      <c r="P711" s="365" t="s">
        <v>154</v>
      </c>
      <c r="Q711" s="365"/>
      <c r="R711" s="171"/>
      <c r="S711" s="171"/>
      <c r="T711" s="166"/>
      <c r="U711" s="166"/>
      <c r="V711" s="166"/>
      <c r="W711" s="166"/>
      <c r="X711" s="166"/>
      <c r="Y711" s="166"/>
      <c r="Z711" s="166"/>
      <c r="AA711" s="166"/>
      <c r="AB711" s="166"/>
      <c r="AC711" s="166"/>
      <c r="AD711" s="166"/>
      <c r="AE711" s="166"/>
      <c r="AF711" s="166"/>
      <c r="AG711" s="166"/>
      <c r="AH711" s="166"/>
      <c r="AI711" s="166"/>
      <c r="AJ711" s="166"/>
      <c r="AK711" s="166"/>
      <c r="AL711" s="166"/>
      <c r="AM711" s="166"/>
      <c r="AN711" s="166"/>
      <c r="AO711" s="166"/>
      <c r="AP711" s="166"/>
      <c r="AQ711" s="166"/>
      <c r="AR711" s="166"/>
      <c r="AS711" s="166"/>
      <c r="AT711" s="166"/>
      <c r="AU711" s="166"/>
      <c r="AV711" s="166"/>
      <c r="AW711" s="166"/>
      <c r="AX711" s="166"/>
      <c r="AY711" s="166"/>
      <c r="AZ711" s="166"/>
      <c r="BA711" s="166"/>
      <c r="BB711" s="166"/>
      <c r="BC711" s="166"/>
      <c r="BD711" s="166"/>
      <c r="BE711" s="166"/>
      <c r="BF711" s="166"/>
      <c r="BG711" s="166"/>
      <c r="BH711" s="166"/>
      <c r="BI711" s="166"/>
      <c r="BJ711" s="166"/>
      <c r="BK711" s="166"/>
      <c r="BL711" s="166"/>
      <c r="BM711" s="166"/>
      <c r="BN711" s="167"/>
      <c r="BO711" s="251"/>
      <c r="BP711" s="250"/>
      <c r="BQ711" s="250"/>
      <c r="BR711" s="250"/>
      <c r="BS711" s="250"/>
      <c r="BT711" s="250"/>
      <c r="BU711" s="250"/>
      <c r="BY711" s="250"/>
    </row>
    <row r="712" spans="3:78" ht="11.25" customHeight="1">
      <c r="C712" s="97" t="s">
        <v>1240</v>
      </c>
      <c r="D712" s="366" t="s">
        <v>1427</v>
      </c>
      <c r="E712" s="369" t="s">
        <v>199</v>
      </c>
      <c r="F712" s="405" t="s">
        <v>209</v>
      </c>
      <c r="G712" s="375" t="s">
        <v>1448</v>
      </c>
      <c r="H712" s="378" t="s">
        <v>715</v>
      </c>
      <c r="I712" s="381" t="s">
        <v>715</v>
      </c>
      <c r="J712" s="381" t="s">
        <v>716</v>
      </c>
      <c r="K712" s="384">
        <v>1</v>
      </c>
      <c r="L712" s="387" t="s">
        <v>3</v>
      </c>
      <c r="M712" s="390">
        <v>0</v>
      </c>
      <c r="N712" s="163"/>
      <c r="O712" s="161"/>
      <c r="P712" s="161"/>
      <c r="Q712" s="161"/>
      <c r="R712" s="161"/>
      <c r="S712" s="161"/>
      <c r="T712" s="161"/>
      <c r="U712" s="161"/>
      <c r="V712" s="161"/>
      <c r="W712" s="161"/>
      <c r="X712" s="161"/>
      <c r="Y712" s="161"/>
      <c r="Z712" s="161"/>
      <c r="AA712" s="161"/>
      <c r="AB712" s="161"/>
      <c r="AC712" s="161"/>
      <c r="AD712" s="161"/>
      <c r="AE712" s="161"/>
      <c r="AF712" s="161"/>
      <c r="AG712" s="161"/>
      <c r="AH712" s="161"/>
      <c r="AI712" s="161"/>
      <c r="AJ712" s="161"/>
      <c r="AK712" s="161"/>
      <c r="AL712" s="161"/>
      <c r="AM712" s="161"/>
      <c r="AN712" s="161"/>
      <c r="AO712" s="161"/>
      <c r="AP712" s="161"/>
      <c r="AQ712" s="161"/>
      <c r="AR712" s="161"/>
      <c r="AS712" s="161"/>
      <c r="AT712" s="161"/>
      <c r="AU712" s="161"/>
      <c r="AV712" s="161"/>
      <c r="AW712" s="161"/>
      <c r="AX712" s="161"/>
      <c r="AY712" s="161"/>
      <c r="AZ712" s="161"/>
      <c r="BA712" s="161"/>
      <c r="BB712" s="161"/>
      <c r="BC712" s="161"/>
      <c r="BD712" s="161"/>
      <c r="BE712" s="161"/>
      <c r="BF712" s="161"/>
      <c r="BG712" s="161"/>
      <c r="BH712" s="161"/>
      <c r="BI712" s="161"/>
      <c r="BJ712" s="161"/>
      <c r="BK712" s="161"/>
      <c r="BL712" s="161"/>
      <c r="BM712" s="161"/>
      <c r="BN712" s="162"/>
      <c r="BO712" s="251"/>
      <c r="BP712" s="250"/>
      <c r="BQ712" s="250"/>
      <c r="BR712" s="250"/>
      <c r="BS712" s="250"/>
      <c r="BT712" s="250"/>
      <c r="BU712" s="250"/>
      <c r="BY712" s="250"/>
    </row>
    <row r="713" spans="3:78" ht="11.25" customHeight="1">
      <c r="C713" s="306"/>
      <c r="D713" s="367"/>
      <c r="E713" s="370"/>
      <c r="F713" s="406"/>
      <c r="G713" s="376"/>
      <c r="H713" s="379"/>
      <c r="I713" s="382"/>
      <c r="J713" s="382"/>
      <c r="K713" s="385"/>
      <c r="L713" s="388"/>
      <c r="M713" s="391"/>
      <c r="N713" s="393"/>
      <c r="O713" s="396">
        <v>1</v>
      </c>
      <c r="P713" s="399" t="s">
        <v>1297</v>
      </c>
      <c r="Q713" s="402"/>
      <c r="R713" s="361" t="s">
        <v>154</v>
      </c>
      <c r="S713" s="361" t="s">
        <v>154</v>
      </c>
      <c r="T713" s="361" t="s">
        <v>154</v>
      </c>
      <c r="U713" s="361" t="s">
        <v>154</v>
      </c>
      <c r="V713" s="361" t="s">
        <v>154</v>
      </c>
      <c r="W713" s="361" t="s">
        <v>154</v>
      </c>
      <c r="X713" s="361" t="s">
        <v>154</v>
      </c>
      <c r="Y713" s="361" t="s">
        <v>154</v>
      </c>
      <c r="Z713" s="361" t="s">
        <v>154</v>
      </c>
      <c r="AA713" s="361" t="s">
        <v>154</v>
      </c>
      <c r="AB713" s="361" t="s">
        <v>154</v>
      </c>
      <c r="AC713" s="361" t="s">
        <v>154</v>
      </c>
      <c r="AD713" s="361" t="s">
        <v>154</v>
      </c>
      <c r="AE713" s="209"/>
      <c r="AF713" s="220">
        <v>0</v>
      </c>
      <c r="AG713" s="219" t="s">
        <v>308</v>
      </c>
      <c r="AH713" s="219"/>
      <c r="AI713" s="219"/>
      <c r="AJ713" s="219"/>
      <c r="AK713" s="219"/>
      <c r="AL713" s="219"/>
      <c r="AM713" s="219"/>
      <c r="AN713" s="219"/>
      <c r="AO713" s="219"/>
      <c r="AP713" s="164"/>
      <c r="AQ713" s="164"/>
      <c r="AR713" s="164"/>
      <c r="AS713" s="164"/>
      <c r="AT713" s="164"/>
      <c r="AU713" s="164"/>
      <c r="AV713" s="164"/>
      <c r="AW713" s="164"/>
      <c r="AX713" s="164"/>
      <c r="AY713" s="164"/>
      <c r="AZ713" s="164"/>
      <c r="BA713" s="164"/>
      <c r="BB713" s="164"/>
      <c r="BC713" s="164"/>
      <c r="BD713" s="164"/>
      <c r="BE713" s="164"/>
      <c r="BF713" s="164"/>
      <c r="BG713" s="164"/>
      <c r="BH713" s="164"/>
      <c r="BI713" s="164"/>
      <c r="BJ713" s="164"/>
      <c r="BK713" s="164"/>
      <c r="BL713" s="164"/>
      <c r="BM713" s="164"/>
      <c r="BN713" s="165"/>
      <c r="BO713" s="251"/>
      <c r="BP713" s="364" t="s">
        <v>1298</v>
      </c>
      <c r="BQ713" s="364" t="s">
        <v>1298</v>
      </c>
      <c r="BR713" s="364" t="s">
        <v>1298</v>
      </c>
      <c r="BS713" s="250"/>
      <c r="BT713" s="364" t="s">
        <v>1298</v>
      </c>
      <c r="BU713" s="364" t="s">
        <v>1298</v>
      </c>
      <c r="BV713" s="364" t="s">
        <v>1298</v>
      </c>
      <c r="BW713" s="364" t="s">
        <v>1298</v>
      </c>
      <c r="BX713" s="364" t="s">
        <v>1298</v>
      </c>
      <c r="BY713" s="250"/>
    </row>
    <row r="714" spans="3:78" ht="14.25">
      <c r="C714" s="306"/>
      <c r="D714" s="367"/>
      <c r="E714" s="370"/>
      <c r="F714" s="406"/>
      <c r="G714" s="376"/>
      <c r="H714" s="379"/>
      <c r="I714" s="382"/>
      <c r="J714" s="382"/>
      <c r="K714" s="385"/>
      <c r="L714" s="388"/>
      <c r="M714" s="391"/>
      <c r="N714" s="394"/>
      <c r="O714" s="397"/>
      <c r="P714" s="400"/>
      <c r="Q714" s="403"/>
      <c r="R714" s="362"/>
      <c r="S714" s="362"/>
      <c r="T714" s="362"/>
      <c r="U714" s="362"/>
      <c r="V714" s="362"/>
      <c r="W714" s="362"/>
      <c r="X714" s="362"/>
      <c r="Y714" s="362"/>
      <c r="Z714" s="362"/>
      <c r="AA714" s="362"/>
      <c r="AB714" s="362"/>
      <c r="AC714" s="362"/>
      <c r="AD714" s="362"/>
      <c r="AE714" s="193"/>
      <c r="AF714" s="217" t="s">
        <v>268</v>
      </c>
      <c r="AG714" s="158" t="s">
        <v>221</v>
      </c>
      <c r="AH714" s="300" t="s">
        <v>19</v>
      </c>
      <c r="AI714" s="301" t="s">
        <v>154</v>
      </c>
      <c r="AJ714" s="221"/>
      <c r="AK714" s="221"/>
      <c r="AL714" s="221"/>
      <c r="AM714" s="221"/>
      <c r="AN714" s="221"/>
      <c r="AO714" s="221"/>
      <c r="AP714" s="302" t="s">
        <v>19</v>
      </c>
      <c r="AQ714" s="195">
        <f>SUM(AT714,AW714,AZ714,BC714,BF714,BI714,BL714)</f>
        <v>4122.0586789200006</v>
      </c>
      <c r="AR714" s="197">
        <f>SUM(AT714,AX714,BA714,BD714,BG714,BJ714,BM714)</f>
        <v>0</v>
      </c>
      <c r="AS714" s="195">
        <f>AQ714-AR714</f>
        <v>4122.0586789200006</v>
      </c>
      <c r="AT714" s="312"/>
      <c r="AU714" s="312"/>
      <c r="AV714" s="244"/>
      <c r="AW714" s="159">
        <v>4122.0586789200006</v>
      </c>
      <c r="AX714" s="312"/>
      <c r="AY714" s="194">
        <f>AW714-AX714</f>
        <v>4122.0586789200006</v>
      </c>
      <c r="AZ714" s="160"/>
      <c r="BA714" s="312"/>
      <c r="BB714" s="194">
        <f>AZ714-BA714</f>
        <v>0</v>
      </c>
      <c r="BC714" s="159"/>
      <c r="BD714" s="312"/>
      <c r="BE714" s="194">
        <f>BC714-BD714</f>
        <v>0</v>
      </c>
      <c r="BF714" s="159"/>
      <c r="BG714" s="244"/>
      <c r="BH714" s="194">
        <f>BF714-BG714</f>
        <v>0</v>
      </c>
      <c r="BI714" s="159"/>
      <c r="BJ714" s="244"/>
      <c r="BK714" s="194">
        <f>BI714-BJ714</f>
        <v>0</v>
      </c>
      <c r="BL714" s="312"/>
      <c r="BM714" s="312"/>
      <c r="BN714" s="195">
        <f>BL714-BM714</f>
        <v>0</v>
      </c>
      <c r="BO714" s="251">
        <v>0</v>
      </c>
      <c r="BP714" s="364"/>
      <c r="BQ714" s="364"/>
      <c r="BR714" s="364"/>
      <c r="BS714" s="249" t="str">
        <f>AG714 &amp; BO714</f>
        <v>Амортизационные отчисления0</v>
      </c>
      <c r="BT714" s="364"/>
      <c r="BU714" s="364"/>
      <c r="BV714" s="364"/>
      <c r="BW714" s="364"/>
      <c r="BX714" s="364"/>
      <c r="BY714" s="249" t="str">
        <f>AG714&amp;AH714</f>
        <v>Амортизационные отчислениянет</v>
      </c>
      <c r="BZ714" s="250"/>
    </row>
    <row r="715" spans="3:78" ht="14.25">
      <c r="C715" s="97"/>
      <c r="D715" s="367"/>
      <c r="E715" s="370"/>
      <c r="F715" s="406"/>
      <c r="G715" s="376"/>
      <c r="H715" s="379"/>
      <c r="I715" s="382"/>
      <c r="J715" s="382"/>
      <c r="K715" s="385"/>
      <c r="L715" s="388"/>
      <c r="M715" s="391"/>
      <c r="N715" s="394"/>
      <c r="O715" s="397"/>
      <c r="P715" s="400"/>
      <c r="Q715" s="403"/>
      <c r="R715" s="362"/>
      <c r="S715" s="362"/>
      <c r="T715" s="362"/>
      <c r="U715" s="362"/>
      <c r="V715" s="362"/>
      <c r="W715" s="362"/>
      <c r="X715" s="362"/>
      <c r="Y715" s="362"/>
      <c r="Z715" s="362"/>
      <c r="AA715" s="362"/>
      <c r="AB715" s="362"/>
      <c r="AC715" s="362"/>
      <c r="AD715" s="362"/>
      <c r="AE715" s="322" t="s">
        <v>1240</v>
      </c>
      <c r="AF715" s="217" t="s">
        <v>118</v>
      </c>
      <c r="AG715" s="196" t="s">
        <v>223</v>
      </c>
      <c r="AH715" s="302" t="s">
        <v>19</v>
      </c>
      <c r="AI715" s="301" t="s">
        <v>154</v>
      </c>
      <c r="AJ715" s="221"/>
      <c r="AK715" s="221"/>
      <c r="AL715" s="221"/>
      <c r="AM715" s="221"/>
      <c r="AN715" s="221"/>
      <c r="AO715" s="221"/>
      <c r="AP715" s="302" t="s">
        <v>19</v>
      </c>
      <c r="AQ715" s="195">
        <f>SUM(AT715,AW715,AZ715,BC715,BF715,BI715,BL715)</f>
        <v>824.41173578399957</v>
      </c>
      <c r="AR715" s="197">
        <f>SUM(AT715,AX715,BA715,BD715,BG715,BJ715,BM715)</f>
        <v>0</v>
      </c>
      <c r="AS715" s="195">
        <f>AQ715-AR715</f>
        <v>824.41173578399957</v>
      </c>
      <c r="AT715" s="315"/>
      <c r="AU715" s="315"/>
      <c r="AV715" s="241"/>
      <c r="AW715" s="198">
        <f>4946.470414704-AW714</f>
        <v>824.41173578399957</v>
      </c>
      <c r="AX715" s="313"/>
      <c r="AY715" s="199">
        <f>AW715-AX715</f>
        <v>824.41173578399957</v>
      </c>
      <c r="AZ715" s="173"/>
      <c r="BA715" s="313"/>
      <c r="BB715" s="199">
        <f>AZ715-BA715</f>
        <v>0</v>
      </c>
      <c r="BC715" s="198"/>
      <c r="BD715" s="313"/>
      <c r="BE715" s="199">
        <f>BC715-BD715</f>
        <v>0</v>
      </c>
      <c r="BF715" s="198"/>
      <c r="BG715" s="241"/>
      <c r="BH715" s="199">
        <f>BF715-BG715</f>
        <v>0</v>
      </c>
      <c r="BI715" s="198"/>
      <c r="BJ715" s="241"/>
      <c r="BK715" s="199">
        <f>BI715-BJ715</f>
        <v>0</v>
      </c>
      <c r="BL715" s="313"/>
      <c r="BM715" s="313"/>
      <c r="BN715" s="195">
        <f>BL715-BM715</f>
        <v>0</v>
      </c>
      <c r="BO715" s="251">
        <v>0</v>
      </c>
      <c r="BP715" s="364"/>
      <c r="BQ715" s="364"/>
      <c r="BR715" s="364"/>
      <c r="BS715" s="249" t="str">
        <f>AG715 &amp; BO715</f>
        <v>Прочие собственные средства0</v>
      </c>
      <c r="BT715" s="364"/>
      <c r="BU715" s="364"/>
      <c r="BV715" s="364"/>
      <c r="BW715" s="364"/>
      <c r="BX715" s="364"/>
      <c r="BY715" s="249" t="str">
        <f>AG715&amp;AH715</f>
        <v>Прочие собственные средстванет</v>
      </c>
      <c r="BZ715" s="250"/>
    </row>
    <row r="716" spans="3:78" ht="15" customHeight="1">
      <c r="C716" s="306"/>
      <c r="D716" s="367"/>
      <c r="E716" s="370"/>
      <c r="F716" s="406"/>
      <c r="G716" s="376"/>
      <c r="H716" s="379"/>
      <c r="I716" s="382"/>
      <c r="J716" s="382"/>
      <c r="K716" s="385"/>
      <c r="L716" s="388"/>
      <c r="M716" s="391"/>
      <c r="N716" s="395"/>
      <c r="O716" s="398"/>
      <c r="P716" s="401"/>
      <c r="Q716" s="404"/>
      <c r="R716" s="363"/>
      <c r="S716" s="363"/>
      <c r="T716" s="363"/>
      <c r="U716" s="363"/>
      <c r="V716" s="363"/>
      <c r="W716" s="363"/>
      <c r="X716" s="363"/>
      <c r="Y716" s="363"/>
      <c r="Z716" s="363"/>
      <c r="AA716" s="363"/>
      <c r="AB716" s="363"/>
      <c r="AC716" s="363"/>
      <c r="AD716" s="363"/>
      <c r="AE716" s="279" t="s">
        <v>379</v>
      </c>
      <c r="AF716" s="203"/>
      <c r="AG716" s="223" t="s">
        <v>24</v>
      </c>
      <c r="AH716" s="223"/>
      <c r="AI716" s="223"/>
      <c r="AJ716" s="223"/>
      <c r="AK716" s="223"/>
      <c r="AL716" s="223"/>
      <c r="AM716" s="223"/>
      <c r="AN716" s="223"/>
      <c r="AO716" s="223"/>
      <c r="AP716" s="168"/>
      <c r="AQ716" s="169"/>
      <c r="AR716" s="169"/>
      <c r="AS716" s="169"/>
      <c r="AT716" s="169"/>
      <c r="AU716" s="169"/>
      <c r="AV716" s="169"/>
      <c r="AW716" s="169"/>
      <c r="AX716" s="169"/>
      <c r="AY716" s="169"/>
      <c r="AZ716" s="169"/>
      <c r="BA716" s="169"/>
      <c r="BB716" s="169"/>
      <c r="BC716" s="169"/>
      <c r="BD716" s="169"/>
      <c r="BE716" s="169"/>
      <c r="BF716" s="169"/>
      <c r="BG716" s="169"/>
      <c r="BH716" s="169"/>
      <c r="BI716" s="169"/>
      <c r="BJ716" s="169"/>
      <c r="BK716" s="169"/>
      <c r="BL716" s="169"/>
      <c r="BM716" s="169"/>
      <c r="BN716" s="170"/>
      <c r="BO716" s="251"/>
      <c r="BP716" s="364"/>
      <c r="BQ716" s="364"/>
      <c r="BR716" s="364"/>
      <c r="BS716" s="250"/>
      <c r="BT716" s="364"/>
      <c r="BU716" s="364"/>
      <c r="BV716" s="364"/>
      <c r="BW716" s="364"/>
      <c r="BX716" s="364"/>
      <c r="BY716" s="250"/>
    </row>
    <row r="717" spans="3:78" ht="15" customHeight="1" thickBot="1">
      <c r="C717" s="307"/>
      <c r="D717" s="368"/>
      <c r="E717" s="371"/>
      <c r="F717" s="407"/>
      <c r="G717" s="377"/>
      <c r="H717" s="380"/>
      <c r="I717" s="383"/>
      <c r="J717" s="383"/>
      <c r="K717" s="386"/>
      <c r="L717" s="389"/>
      <c r="M717" s="392"/>
      <c r="N717" s="280" t="s">
        <v>380</v>
      </c>
      <c r="O717" s="212"/>
      <c r="P717" s="365" t="s">
        <v>154</v>
      </c>
      <c r="Q717" s="365"/>
      <c r="R717" s="171"/>
      <c r="S717" s="171"/>
      <c r="T717" s="166"/>
      <c r="U717" s="166"/>
      <c r="V717" s="166"/>
      <c r="W717" s="166"/>
      <c r="X717" s="166"/>
      <c r="Y717" s="166"/>
      <c r="Z717" s="166"/>
      <c r="AA717" s="166"/>
      <c r="AB717" s="166"/>
      <c r="AC717" s="166"/>
      <c r="AD717" s="166"/>
      <c r="AE717" s="166"/>
      <c r="AF717" s="166"/>
      <c r="AG717" s="166"/>
      <c r="AH717" s="166"/>
      <c r="AI717" s="166"/>
      <c r="AJ717" s="166"/>
      <c r="AK717" s="166"/>
      <c r="AL717" s="166"/>
      <c r="AM717" s="166"/>
      <c r="AN717" s="166"/>
      <c r="AO717" s="166"/>
      <c r="AP717" s="166"/>
      <c r="AQ717" s="166"/>
      <c r="AR717" s="166"/>
      <c r="AS717" s="166"/>
      <c r="AT717" s="166"/>
      <c r="AU717" s="166"/>
      <c r="AV717" s="166"/>
      <c r="AW717" s="166"/>
      <c r="AX717" s="166"/>
      <c r="AY717" s="166"/>
      <c r="AZ717" s="166"/>
      <c r="BA717" s="166"/>
      <c r="BB717" s="166"/>
      <c r="BC717" s="166"/>
      <c r="BD717" s="166"/>
      <c r="BE717" s="166"/>
      <c r="BF717" s="166"/>
      <c r="BG717" s="166"/>
      <c r="BH717" s="166"/>
      <c r="BI717" s="166"/>
      <c r="BJ717" s="166"/>
      <c r="BK717" s="166"/>
      <c r="BL717" s="166"/>
      <c r="BM717" s="166"/>
      <c r="BN717" s="167"/>
      <c r="BO717" s="251"/>
      <c r="BP717" s="250"/>
      <c r="BQ717" s="250"/>
      <c r="BR717" s="250"/>
      <c r="BS717" s="250"/>
      <c r="BT717" s="250"/>
      <c r="BU717" s="250"/>
      <c r="BY717" s="250"/>
    </row>
    <row r="718" spans="3:78" ht="11.25" customHeight="1">
      <c r="C718" s="97" t="s">
        <v>1240</v>
      </c>
      <c r="D718" s="366" t="s">
        <v>1428</v>
      </c>
      <c r="E718" s="369" t="s">
        <v>199</v>
      </c>
      <c r="F718" s="405" t="s">
        <v>209</v>
      </c>
      <c r="G718" s="375" t="s">
        <v>1449</v>
      </c>
      <c r="H718" s="378" t="s">
        <v>715</v>
      </c>
      <c r="I718" s="381" t="s">
        <v>715</v>
      </c>
      <c r="J718" s="381" t="s">
        <v>716</v>
      </c>
      <c r="K718" s="384">
        <v>1</v>
      </c>
      <c r="L718" s="387" t="s">
        <v>4</v>
      </c>
      <c r="M718" s="390">
        <v>0</v>
      </c>
      <c r="N718" s="163"/>
      <c r="O718" s="161"/>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1"/>
      <c r="AK718" s="161"/>
      <c r="AL718" s="161"/>
      <c r="AM718" s="161"/>
      <c r="AN718" s="161"/>
      <c r="AO718" s="161"/>
      <c r="AP718" s="161"/>
      <c r="AQ718" s="161"/>
      <c r="AR718" s="161"/>
      <c r="AS718" s="161"/>
      <c r="AT718" s="161"/>
      <c r="AU718" s="161"/>
      <c r="AV718" s="161"/>
      <c r="AW718" s="161"/>
      <c r="AX718" s="161"/>
      <c r="AY718" s="161"/>
      <c r="AZ718" s="161"/>
      <c r="BA718" s="161"/>
      <c r="BB718" s="161"/>
      <c r="BC718" s="161"/>
      <c r="BD718" s="161"/>
      <c r="BE718" s="161"/>
      <c r="BF718" s="161"/>
      <c r="BG718" s="161"/>
      <c r="BH718" s="161"/>
      <c r="BI718" s="161"/>
      <c r="BJ718" s="161"/>
      <c r="BK718" s="161"/>
      <c r="BL718" s="161"/>
      <c r="BM718" s="161"/>
      <c r="BN718" s="162"/>
      <c r="BO718" s="251"/>
      <c r="BP718" s="250"/>
      <c r="BQ718" s="250"/>
      <c r="BR718" s="250"/>
      <c r="BS718" s="250"/>
      <c r="BT718" s="250"/>
      <c r="BU718" s="250"/>
      <c r="BY718" s="250"/>
    </row>
    <row r="719" spans="3:78" ht="11.25" customHeight="1">
      <c r="C719" s="306"/>
      <c r="D719" s="367"/>
      <c r="E719" s="370"/>
      <c r="F719" s="406"/>
      <c r="G719" s="376"/>
      <c r="H719" s="379"/>
      <c r="I719" s="382"/>
      <c r="J719" s="382"/>
      <c r="K719" s="385"/>
      <c r="L719" s="388"/>
      <c r="M719" s="391"/>
      <c r="N719" s="393"/>
      <c r="O719" s="396">
        <v>1</v>
      </c>
      <c r="P719" s="399" t="s">
        <v>1297</v>
      </c>
      <c r="Q719" s="402"/>
      <c r="R719" s="361" t="s">
        <v>154</v>
      </c>
      <c r="S719" s="361" t="s">
        <v>154</v>
      </c>
      <c r="T719" s="361" t="s">
        <v>154</v>
      </c>
      <c r="U719" s="361" t="s">
        <v>154</v>
      </c>
      <c r="V719" s="361" t="s">
        <v>154</v>
      </c>
      <c r="W719" s="361" t="s">
        <v>154</v>
      </c>
      <c r="X719" s="361" t="s">
        <v>154</v>
      </c>
      <c r="Y719" s="361" t="s">
        <v>154</v>
      </c>
      <c r="Z719" s="361" t="s">
        <v>154</v>
      </c>
      <c r="AA719" s="361" t="s">
        <v>154</v>
      </c>
      <c r="AB719" s="361" t="s">
        <v>154</v>
      </c>
      <c r="AC719" s="361" t="s">
        <v>154</v>
      </c>
      <c r="AD719" s="361" t="s">
        <v>154</v>
      </c>
      <c r="AE719" s="209"/>
      <c r="AF719" s="220">
        <v>0</v>
      </c>
      <c r="AG719" s="219" t="s">
        <v>308</v>
      </c>
      <c r="AH719" s="219"/>
      <c r="AI719" s="219"/>
      <c r="AJ719" s="219"/>
      <c r="AK719" s="219"/>
      <c r="AL719" s="219"/>
      <c r="AM719" s="219"/>
      <c r="AN719" s="219"/>
      <c r="AO719" s="219"/>
      <c r="AP719" s="164"/>
      <c r="AQ719" s="164"/>
      <c r="AR719" s="164"/>
      <c r="AS719" s="164"/>
      <c r="AT719" s="164"/>
      <c r="AU719" s="164"/>
      <c r="AV719" s="164"/>
      <c r="AW719" s="164"/>
      <c r="AX719" s="164"/>
      <c r="AY719" s="164"/>
      <c r="AZ719" s="164"/>
      <c r="BA719" s="164"/>
      <c r="BB719" s="164"/>
      <c r="BC719" s="164"/>
      <c r="BD719" s="164"/>
      <c r="BE719" s="164"/>
      <c r="BF719" s="164"/>
      <c r="BG719" s="164"/>
      <c r="BH719" s="164"/>
      <c r="BI719" s="164"/>
      <c r="BJ719" s="164"/>
      <c r="BK719" s="164"/>
      <c r="BL719" s="164"/>
      <c r="BM719" s="164"/>
      <c r="BN719" s="165"/>
      <c r="BO719" s="251"/>
      <c r="BP719" s="364" t="s">
        <v>1298</v>
      </c>
      <c r="BQ719" s="364" t="s">
        <v>1298</v>
      </c>
      <c r="BR719" s="364" t="s">
        <v>1298</v>
      </c>
      <c r="BS719" s="250"/>
      <c r="BT719" s="364" t="s">
        <v>1298</v>
      </c>
      <c r="BU719" s="364" t="s">
        <v>1298</v>
      </c>
      <c r="BV719" s="364" t="s">
        <v>1298</v>
      </c>
      <c r="BW719" s="364" t="s">
        <v>1298</v>
      </c>
      <c r="BX719" s="364" t="s">
        <v>1298</v>
      </c>
      <c r="BY719" s="250"/>
    </row>
    <row r="720" spans="3:78" ht="14.25">
      <c r="C720" s="306"/>
      <c r="D720" s="367"/>
      <c r="E720" s="370"/>
      <c r="F720" s="406"/>
      <c r="G720" s="376"/>
      <c r="H720" s="379"/>
      <c r="I720" s="382"/>
      <c r="J720" s="382"/>
      <c r="K720" s="385"/>
      <c r="L720" s="388"/>
      <c r="M720" s="391"/>
      <c r="N720" s="394"/>
      <c r="O720" s="397"/>
      <c r="P720" s="400"/>
      <c r="Q720" s="403"/>
      <c r="R720" s="362"/>
      <c r="S720" s="362"/>
      <c r="T720" s="362"/>
      <c r="U720" s="362"/>
      <c r="V720" s="362"/>
      <c r="W720" s="362"/>
      <c r="X720" s="362"/>
      <c r="Y720" s="362"/>
      <c r="Z720" s="362"/>
      <c r="AA720" s="362"/>
      <c r="AB720" s="362"/>
      <c r="AC720" s="362"/>
      <c r="AD720" s="362"/>
      <c r="AE720" s="193"/>
      <c r="AF720" s="217" t="s">
        <v>268</v>
      </c>
      <c r="AG720" s="158" t="s">
        <v>221</v>
      </c>
      <c r="AH720" s="300" t="s">
        <v>19</v>
      </c>
      <c r="AI720" s="301" t="s">
        <v>154</v>
      </c>
      <c r="AJ720" s="221"/>
      <c r="AK720" s="221"/>
      <c r="AL720" s="221"/>
      <c r="AM720" s="221"/>
      <c r="AN720" s="221"/>
      <c r="AO720" s="221"/>
      <c r="AP720" s="302" t="s">
        <v>19</v>
      </c>
      <c r="AQ720" s="195">
        <f>SUM(AT720,AW720,AZ720,BC720,BF720,BI720,BL720)</f>
        <v>7076.6440851319176</v>
      </c>
      <c r="AR720" s="197">
        <f>SUM(AT720,AX720,BA720,BD720,BG720,BJ720,BM720)</f>
        <v>0</v>
      </c>
      <c r="AS720" s="195">
        <f>AQ720-AR720</f>
        <v>7076.6440851319176</v>
      </c>
      <c r="AT720" s="312"/>
      <c r="AU720" s="312"/>
      <c r="AV720" s="244"/>
      <c r="AW720" s="159"/>
      <c r="AX720" s="312"/>
      <c r="AY720" s="194">
        <f>AW720-AX720</f>
        <v>0</v>
      </c>
      <c r="AZ720" s="160">
        <v>7076.6440851319176</v>
      </c>
      <c r="BA720" s="312"/>
      <c r="BB720" s="194">
        <f>AZ720-BA720</f>
        <v>7076.6440851319176</v>
      </c>
      <c r="BC720" s="159"/>
      <c r="BD720" s="312"/>
      <c r="BE720" s="194">
        <f>BC720-BD720</f>
        <v>0</v>
      </c>
      <c r="BF720" s="159"/>
      <c r="BG720" s="244"/>
      <c r="BH720" s="194">
        <f>BF720-BG720</f>
        <v>0</v>
      </c>
      <c r="BI720" s="159"/>
      <c r="BJ720" s="244"/>
      <c r="BK720" s="194">
        <f>BI720-BJ720</f>
        <v>0</v>
      </c>
      <c r="BL720" s="312"/>
      <c r="BM720" s="312"/>
      <c r="BN720" s="195">
        <f>BL720-BM720</f>
        <v>0</v>
      </c>
      <c r="BO720" s="251">
        <v>0</v>
      </c>
      <c r="BP720" s="364"/>
      <c r="BQ720" s="364"/>
      <c r="BR720" s="364"/>
      <c r="BS720" s="249" t="str">
        <f>AG720 &amp; BO720</f>
        <v>Амортизационные отчисления0</v>
      </c>
      <c r="BT720" s="364"/>
      <c r="BU720" s="364"/>
      <c r="BV720" s="364"/>
      <c r="BW720" s="364"/>
      <c r="BX720" s="364"/>
      <c r="BY720" s="249" t="str">
        <f>AG720&amp;AH720</f>
        <v>Амортизационные отчислениянет</v>
      </c>
      <c r="BZ720" s="250"/>
    </row>
    <row r="721" spans="3:78" ht="14.25">
      <c r="C721" s="97"/>
      <c r="D721" s="367"/>
      <c r="E721" s="370"/>
      <c r="F721" s="406"/>
      <c r="G721" s="376"/>
      <c r="H721" s="379"/>
      <c r="I721" s="382"/>
      <c r="J721" s="382"/>
      <c r="K721" s="385"/>
      <c r="L721" s="388"/>
      <c r="M721" s="391"/>
      <c r="N721" s="394"/>
      <c r="O721" s="397"/>
      <c r="P721" s="400"/>
      <c r="Q721" s="403"/>
      <c r="R721" s="362"/>
      <c r="S721" s="362"/>
      <c r="T721" s="362"/>
      <c r="U721" s="362"/>
      <c r="V721" s="362"/>
      <c r="W721" s="362"/>
      <c r="X721" s="362"/>
      <c r="Y721" s="362"/>
      <c r="Z721" s="362"/>
      <c r="AA721" s="362"/>
      <c r="AB721" s="362"/>
      <c r="AC721" s="362"/>
      <c r="AD721" s="362"/>
      <c r="AE721" s="322" t="s">
        <v>1240</v>
      </c>
      <c r="AF721" s="217" t="s">
        <v>118</v>
      </c>
      <c r="AG721" s="196" t="s">
        <v>223</v>
      </c>
      <c r="AH721" s="302" t="s">
        <v>19</v>
      </c>
      <c r="AI721" s="301" t="s">
        <v>154</v>
      </c>
      <c r="AJ721" s="221"/>
      <c r="AK721" s="221"/>
      <c r="AL721" s="221"/>
      <c r="AM721" s="221"/>
      <c r="AN721" s="221"/>
      <c r="AO721" s="221"/>
      <c r="AP721" s="302" t="s">
        <v>19</v>
      </c>
      <c r="AQ721" s="195">
        <f>SUM(AT721,AW721,AZ721,BC721,BF721,BI721,BL721)</f>
        <v>1415.3288170263831</v>
      </c>
      <c r="AR721" s="197">
        <f>SUM(AT721,AX721,BA721,BD721,BG721,BJ721,BM721)</f>
        <v>0</v>
      </c>
      <c r="AS721" s="195">
        <f>AQ721-AR721</f>
        <v>1415.3288170263831</v>
      </c>
      <c r="AT721" s="315"/>
      <c r="AU721" s="315"/>
      <c r="AV721" s="241"/>
      <c r="AW721" s="198"/>
      <c r="AX721" s="313"/>
      <c r="AY721" s="199">
        <f>AW721-AX721</f>
        <v>0</v>
      </c>
      <c r="AZ721" s="173">
        <f>8491.9729021583-AZ720</f>
        <v>1415.3288170263831</v>
      </c>
      <c r="BA721" s="313"/>
      <c r="BB721" s="199">
        <f>AZ721-BA721</f>
        <v>1415.3288170263831</v>
      </c>
      <c r="BC721" s="198"/>
      <c r="BD721" s="313"/>
      <c r="BE721" s="199">
        <f>BC721-BD721</f>
        <v>0</v>
      </c>
      <c r="BF721" s="198"/>
      <c r="BG721" s="241"/>
      <c r="BH721" s="199">
        <f>BF721-BG721</f>
        <v>0</v>
      </c>
      <c r="BI721" s="198"/>
      <c r="BJ721" s="241"/>
      <c r="BK721" s="199">
        <f>BI721-BJ721</f>
        <v>0</v>
      </c>
      <c r="BL721" s="313"/>
      <c r="BM721" s="313"/>
      <c r="BN721" s="195">
        <f>BL721-BM721</f>
        <v>0</v>
      </c>
      <c r="BO721" s="251">
        <v>0</v>
      </c>
      <c r="BP721" s="364"/>
      <c r="BQ721" s="364"/>
      <c r="BR721" s="364"/>
      <c r="BS721" s="249" t="str">
        <f>AG721 &amp; BO721</f>
        <v>Прочие собственные средства0</v>
      </c>
      <c r="BT721" s="364"/>
      <c r="BU721" s="364"/>
      <c r="BV721" s="364"/>
      <c r="BW721" s="364"/>
      <c r="BX721" s="364"/>
      <c r="BY721" s="249" t="str">
        <f>AG721&amp;AH721</f>
        <v>Прочие собственные средстванет</v>
      </c>
      <c r="BZ721" s="250"/>
    </row>
    <row r="722" spans="3:78" ht="15" customHeight="1">
      <c r="C722" s="306"/>
      <c r="D722" s="367"/>
      <c r="E722" s="370"/>
      <c r="F722" s="406"/>
      <c r="G722" s="376"/>
      <c r="H722" s="379"/>
      <c r="I722" s="382"/>
      <c r="J722" s="382"/>
      <c r="K722" s="385"/>
      <c r="L722" s="388"/>
      <c r="M722" s="391"/>
      <c r="N722" s="395"/>
      <c r="O722" s="398"/>
      <c r="P722" s="401"/>
      <c r="Q722" s="404"/>
      <c r="R722" s="363"/>
      <c r="S722" s="363"/>
      <c r="T722" s="363"/>
      <c r="U722" s="363"/>
      <c r="V722" s="363"/>
      <c r="W722" s="363"/>
      <c r="X722" s="363"/>
      <c r="Y722" s="363"/>
      <c r="Z722" s="363"/>
      <c r="AA722" s="363"/>
      <c r="AB722" s="363"/>
      <c r="AC722" s="363"/>
      <c r="AD722" s="363"/>
      <c r="AE722" s="279" t="s">
        <v>379</v>
      </c>
      <c r="AF722" s="203"/>
      <c r="AG722" s="223" t="s">
        <v>24</v>
      </c>
      <c r="AH722" s="223"/>
      <c r="AI722" s="223"/>
      <c r="AJ722" s="223"/>
      <c r="AK722" s="223"/>
      <c r="AL722" s="223"/>
      <c r="AM722" s="223"/>
      <c r="AN722" s="223"/>
      <c r="AO722" s="223"/>
      <c r="AP722" s="168"/>
      <c r="AQ722" s="169"/>
      <c r="AR722" s="169"/>
      <c r="AS722" s="169"/>
      <c r="AT722" s="169"/>
      <c r="AU722" s="169"/>
      <c r="AV722" s="169"/>
      <c r="AW722" s="169"/>
      <c r="AX722" s="169"/>
      <c r="AY722" s="169"/>
      <c r="AZ722" s="169"/>
      <c r="BA722" s="169"/>
      <c r="BB722" s="169"/>
      <c r="BC722" s="169"/>
      <c r="BD722" s="169"/>
      <c r="BE722" s="169"/>
      <c r="BF722" s="169"/>
      <c r="BG722" s="169"/>
      <c r="BH722" s="169"/>
      <c r="BI722" s="169"/>
      <c r="BJ722" s="169"/>
      <c r="BK722" s="169"/>
      <c r="BL722" s="169"/>
      <c r="BM722" s="169"/>
      <c r="BN722" s="170"/>
      <c r="BO722" s="251"/>
      <c r="BP722" s="364"/>
      <c r="BQ722" s="364"/>
      <c r="BR722" s="364"/>
      <c r="BS722" s="250"/>
      <c r="BT722" s="364"/>
      <c r="BU722" s="364"/>
      <c r="BV722" s="364"/>
      <c r="BW722" s="364"/>
      <c r="BX722" s="364"/>
      <c r="BY722" s="250"/>
    </row>
    <row r="723" spans="3:78" ht="15" customHeight="1" thickBot="1">
      <c r="C723" s="307"/>
      <c r="D723" s="368"/>
      <c r="E723" s="371"/>
      <c r="F723" s="407"/>
      <c r="G723" s="377"/>
      <c r="H723" s="380"/>
      <c r="I723" s="383"/>
      <c r="J723" s="383"/>
      <c r="K723" s="386"/>
      <c r="L723" s="389"/>
      <c r="M723" s="392"/>
      <c r="N723" s="280" t="s">
        <v>380</v>
      </c>
      <c r="O723" s="212"/>
      <c r="P723" s="365" t="s">
        <v>154</v>
      </c>
      <c r="Q723" s="365"/>
      <c r="R723" s="171"/>
      <c r="S723" s="171"/>
      <c r="T723" s="166"/>
      <c r="U723" s="166"/>
      <c r="V723" s="166"/>
      <c r="W723" s="166"/>
      <c r="X723" s="166"/>
      <c r="Y723" s="166"/>
      <c r="Z723" s="166"/>
      <c r="AA723" s="166"/>
      <c r="AB723" s="166"/>
      <c r="AC723" s="166"/>
      <c r="AD723" s="166"/>
      <c r="AE723" s="166"/>
      <c r="AF723" s="166"/>
      <c r="AG723" s="166"/>
      <c r="AH723" s="166"/>
      <c r="AI723" s="166"/>
      <c r="AJ723" s="166"/>
      <c r="AK723" s="166"/>
      <c r="AL723" s="166"/>
      <c r="AM723" s="166"/>
      <c r="AN723" s="166"/>
      <c r="AO723" s="166"/>
      <c r="AP723" s="166"/>
      <c r="AQ723" s="166"/>
      <c r="AR723" s="166"/>
      <c r="AS723" s="166"/>
      <c r="AT723" s="166"/>
      <c r="AU723" s="166"/>
      <c r="AV723" s="166"/>
      <c r="AW723" s="166"/>
      <c r="AX723" s="166"/>
      <c r="AY723" s="166"/>
      <c r="AZ723" s="166"/>
      <c r="BA723" s="166"/>
      <c r="BB723" s="166"/>
      <c r="BC723" s="166"/>
      <c r="BD723" s="166"/>
      <c r="BE723" s="166"/>
      <c r="BF723" s="166"/>
      <c r="BG723" s="166"/>
      <c r="BH723" s="166"/>
      <c r="BI723" s="166"/>
      <c r="BJ723" s="166"/>
      <c r="BK723" s="166"/>
      <c r="BL723" s="166"/>
      <c r="BM723" s="166"/>
      <c r="BN723" s="167"/>
      <c r="BO723" s="251"/>
      <c r="BP723" s="250"/>
      <c r="BQ723" s="250"/>
      <c r="BR723" s="250"/>
      <c r="BS723" s="250"/>
      <c r="BT723" s="250"/>
      <c r="BU723" s="250"/>
      <c r="BY723" s="250"/>
    </row>
    <row r="724" spans="3:78" ht="11.25" customHeight="1">
      <c r="C724" s="97" t="s">
        <v>1240</v>
      </c>
      <c r="D724" s="366" t="s">
        <v>1429</v>
      </c>
      <c r="E724" s="369" t="s">
        <v>199</v>
      </c>
      <c r="F724" s="405" t="s">
        <v>209</v>
      </c>
      <c r="G724" s="375" t="s">
        <v>1450</v>
      </c>
      <c r="H724" s="378" t="s">
        <v>715</v>
      </c>
      <c r="I724" s="381" t="s">
        <v>715</v>
      </c>
      <c r="J724" s="381" t="s">
        <v>716</v>
      </c>
      <c r="K724" s="384">
        <v>1</v>
      </c>
      <c r="L724" s="387" t="s">
        <v>5</v>
      </c>
      <c r="M724" s="390">
        <v>0</v>
      </c>
      <c r="N724" s="163"/>
      <c r="O724" s="161"/>
      <c r="P724" s="161"/>
      <c r="Q724" s="161"/>
      <c r="R724" s="161"/>
      <c r="S724" s="161"/>
      <c r="T724" s="161"/>
      <c r="U724" s="161"/>
      <c r="V724" s="161"/>
      <c r="W724" s="161"/>
      <c r="X724" s="161"/>
      <c r="Y724" s="161"/>
      <c r="Z724" s="161"/>
      <c r="AA724" s="161"/>
      <c r="AB724" s="161"/>
      <c r="AC724" s="161"/>
      <c r="AD724" s="161"/>
      <c r="AE724" s="161"/>
      <c r="AF724" s="161"/>
      <c r="AG724" s="161"/>
      <c r="AH724" s="161"/>
      <c r="AI724" s="161"/>
      <c r="AJ724" s="161"/>
      <c r="AK724" s="161"/>
      <c r="AL724" s="161"/>
      <c r="AM724" s="161"/>
      <c r="AN724" s="161"/>
      <c r="AO724" s="161"/>
      <c r="AP724" s="161"/>
      <c r="AQ724" s="161"/>
      <c r="AR724" s="161"/>
      <c r="AS724" s="161"/>
      <c r="AT724" s="161"/>
      <c r="AU724" s="161"/>
      <c r="AV724" s="161"/>
      <c r="AW724" s="161"/>
      <c r="AX724" s="161"/>
      <c r="AY724" s="161"/>
      <c r="AZ724" s="161"/>
      <c r="BA724" s="161"/>
      <c r="BB724" s="161"/>
      <c r="BC724" s="161"/>
      <c r="BD724" s="161"/>
      <c r="BE724" s="161"/>
      <c r="BF724" s="161"/>
      <c r="BG724" s="161"/>
      <c r="BH724" s="161"/>
      <c r="BI724" s="161"/>
      <c r="BJ724" s="161"/>
      <c r="BK724" s="161"/>
      <c r="BL724" s="161"/>
      <c r="BM724" s="161"/>
      <c r="BN724" s="162"/>
      <c r="BO724" s="251"/>
      <c r="BP724" s="250"/>
      <c r="BQ724" s="250"/>
      <c r="BR724" s="250"/>
      <c r="BS724" s="250"/>
      <c r="BT724" s="250"/>
      <c r="BU724" s="250"/>
      <c r="BY724" s="250"/>
    </row>
    <row r="725" spans="3:78" ht="11.25" customHeight="1">
      <c r="C725" s="306"/>
      <c r="D725" s="367"/>
      <c r="E725" s="370"/>
      <c r="F725" s="406"/>
      <c r="G725" s="376"/>
      <c r="H725" s="379"/>
      <c r="I725" s="382"/>
      <c r="J725" s="382"/>
      <c r="K725" s="385"/>
      <c r="L725" s="388"/>
      <c r="M725" s="391"/>
      <c r="N725" s="393"/>
      <c r="O725" s="396">
        <v>1</v>
      </c>
      <c r="P725" s="399" t="s">
        <v>1297</v>
      </c>
      <c r="Q725" s="402"/>
      <c r="R725" s="361" t="s">
        <v>154</v>
      </c>
      <c r="S725" s="361" t="s">
        <v>154</v>
      </c>
      <c r="T725" s="361" t="s">
        <v>154</v>
      </c>
      <c r="U725" s="361" t="s">
        <v>154</v>
      </c>
      <c r="V725" s="361" t="s">
        <v>154</v>
      </c>
      <c r="W725" s="361" t="s">
        <v>154</v>
      </c>
      <c r="X725" s="361" t="s">
        <v>154</v>
      </c>
      <c r="Y725" s="361" t="s">
        <v>154</v>
      </c>
      <c r="Z725" s="361" t="s">
        <v>154</v>
      </c>
      <c r="AA725" s="361" t="s">
        <v>154</v>
      </c>
      <c r="AB725" s="361" t="s">
        <v>154</v>
      </c>
      <c r="AC725" s="361" t="s">
        <v>154</v>
      </c>
      <c r="AD725" s="361" t="s">
        <v>154</v>
      </c>
      <c r="AE725" s="209"/>
      <c r="AF725" s="220">
        <v>0</v>
      </c>
      <c r="AG725" s="219" t="s">
        <v>308</v>
      </c>
      <c r="AH725" s="219"/>
      <c r="AI725" s="219"/>
      <c r="AJ725" s="219"/>
      <c r="AK725" s="219"/>
      <c r="AL725" s="219"/>
      <c r="AM725" s="219"/>
      <c r="AN725" s="219"/>
      <c r="AO725" s="219"/>
      <c r="AP725" s="164"/>
      <c r="AQ725" s="164"/>
      <c r="AR725" s="164"/>
      <c r="AS725" s="164"/>
      <c r="AT725" s="164"/>
      <c r="AU725" s="164"/>
      <c r="AV725" s="164"/>
      <c r="AW725" s="164"/>
      <c r="AX725" s="164"/>
      <c r="AY725" s="164"/>
      <c r="AZ725" s="164"/>
      <c r="BA725" s="164"/>
      <c r="BB725" s="164"/>
      <c r="BC725" s="164"/>
      <c r="BD725" s="164"/>
      <c r="BE725" s="164"/>
      <c r="BF725" s="164"/>
      <c r="BG725" s="164"/>
      <c r="BH725" s="164"/>
      <c r="BI725" s="164"/>
      <c r="BJ725" s="164"/>
      <c r="BK725" s="164"/>
      <c r="BL725" s="164"/>
      <c r="BM725" s="164"/>
      <c r="BN725" s="165"/>
      <c r="BO725" s="251"/>
      <c r="BP725" s="364" t="s">
        <v>1298</v>
      </c>
      <c r="BQ725" s="364" t="s">
        <v>1298</v>
      </c>
      <c r="BR725" s="364" t="s">
        <v>1298</v>
      </c>
      <c r="BS725" s="250"/>
      <c r="BT725" s="364" t="s">
        <v>1298</v>
      </c>
      <c r="BU725" s="364" t="s">
        <v>1298</v>
      </c>
      <c r="BV725" s="364" t="s">
        <v>1298</v>
      </c>
      <c r="BW725" s="364" t="s">
        <v>1298</v>
      </c>
      <c r="BX725" s="364" t="s">
        <v>1298</v>
      </c>
      <c r="BY725" s="250"/>
    </row>
    <row r="726" spans="3:78" ht="14.25">
      <c r="C726" s="306"/>
      <c r="D726" s="367"/>
      <c r="E726" s="370"/>
      <c r="F726" s="406"/>
      <c r="G726" s="376"/>
      <c r="H726" s="379"/>
      <c r="I726" s="382"/>
      <c r="J726" s="382"/>
      <c r="K726" s="385"/>
      <c r="L726" s="388"/>
      <c r="M726" s="391"/>
      <c r="N726" s="394"/>
      <c r="O726" s="397"/>
      <c r="P726" s="400"/>
      <c r="Q726" s="403"/>
      <c r="R726" s="362"/>
      <c r="S726" s="362"/>
      <c r="T726" s="362"/>
      <c r="U726" s="362"/>
      <c r="V726" s="362"/>
      <c r="W726" s="362"/>
      <c r="X726" s="362"/>
      <c r="Y726" s="362"/>
      <c r="Z726" s="362"/>
      <c r="AA726" s="362"/>
      <c r="AB726" s="362"/>
      <c r="AC726" s="362"/>
      <c r="AD726" s="362"/>
      <c r="AE726" s="193"/>
      <c r="AF726" s="217" t="s">
        <v>268</v>
      </c>
      <c r="AG726" s="158" t="s">
        <v>221</v>
      </c>
      <c r="AH726" s="300" t="s">
        <v>19</v>
      </c>
      <c r="AI726" s="301" t="s">
        <v>154</v>
      </c>
      <c r="AJ726" s="221"/>
      <c r="AK726" s="221"/>
      <c r="AL726" s="221"/>
      <c r="AM726" s="221"/>
      <c r="AN726" s="221"/>
      <c r="AO726" s="221"/>
      <c r="AP726" s="302" t="s">
        <v>19</v>
      </c>
      <c r="AQ726" s="195">
        <f>SUM(AT726,AW726,AZ726,BC726,BF726,BI726,BL726)</f>
        <v>13694.1229731565</v>
      </c>
      <c r="AR726" s="197">
        <f>SUM(AT726,AX726,BA726,BD726,BG726,BJ726,BM726)</f>
        <v>0</v>
      </c>
      <c r="AS726" s="195">
        <f>AQ726-AR726</f>
        <v>13694.1229731565</v>
      </c>
      <c r="AT726" s="312"/>
      <c r="AU726" s="312"/>
      <c r="AV726" s="244"/>
      <c r="AW726" s="159"/>
      <c r="AX726" s="312"/>
      <c r="AY726" s="194">
        <f>AW726-AX726</f>
        <v>0</v>
      </c>
      <c r="AZ726" s="160"/>
      <c r="BA726" s="312"/>
      <c r="BB726" s="194">
        <f>AZ726-BA726</f>
        <v>0</v>
      </c>
      <c r="BC726" s="159">
        <v>13694.1229731565</v>
      </c>
      <c r="BD726" s="312"/>
      <c r="BE726" s="194">
        <f>BC726-BD726</f>
        <v>13694.1229731565</v>
      </c>
      <c r="BF726" s="159"/>
      <c r="BG726" s="244"/>
      <c r="BH726" s="194">
        <f>BF726-BG726</f>
        <v>0</v>
      </c>
      <c r="BI726" s="159"/>
      <c r="BJ726" s="244"/>
      <c r="BK726" s="194">
        <f>BI726-BJ726</f>
        <v>0</v>
      </c>
      <c r="BL726" s="312"/>
      <c r="BM726" s="312"/>
      <c r="BN726" s="195">
        <f>BL726-BM726</f>
        <v>0</v>
      </c>
      <c r="BO726" s="251">
        <v>0</v>
      </c>
      <c r="BP726" s="364"/>
      <c r="BQ726" s="364"/>
      <c r="BR726" s="364"/>
      <c r="BS726" s="249" t="str">
        <f>AG726 &amp; BO726</f>
        <v>Амортизационные отчисления0</v>
      </c>
      <c r="BT726" s="364"/>
      <c r="BU726" s="364"/>
      <c r="BV726" s="364"/>
      <c r="BW726" s="364"/>
      <c r="BX726" s="364"/>
      <c r="BY726" s="249" t="str">
        <f>AG726&amp;AH726</f>
        <v>Амортизационные отчислениянет</v>
      </c>
      <c r="BZ726" s="250"/>
    </row>
    <row r="727" spans="3:78" ht="14.25">
      <c r="C727" s="97"/>
      <c r="D727" s="367"/>
      <c r="E727" s="370"/>
      <c r="F727" s="406"/>
      <c r="G727" s="376"/>
      <c r="H727" s="379"/>
      <c r="I727" s="382"/>
      <c r="J727" s="382"/>
      <c r="K727" s="385"/>
      <c r="L727" s="388"/>
      <c r="M727" s="391"/>
      <c r="N727" s="394"/>
      <c r="O727" s="397"/>
      <c r="P727" s="400"/>
      <c r="Q727" s="403"/>
      <c r="R727" s="362"/>
      <c r="S727" s="362"/>
      <c r="T727" s="362"/>
      <c r="U727" s="362"/>
      <c r="V727" s="362"/>
      <c r="W727" s="362"/>
      <c r="X727" s="362"/>
      <c r="Y727" s="362"/>
      <c r="Z727" s="362"/>
      <c r="AA727" s="362"/>
      <c r="AB727" s="362"/>
      <c r="AC727" s="362"/>
      <c r="AD727" s="362"/>
      <c r="AE727" s="322" t="s">
        <v>1240</v>
      </c>
      <c r="AF727" s="217" t="s">
        <v>118</v>
      </c>
      <c r="AG727" s="196" t="s">
        <v>223</v>
      </c>
      <c r="AH727" s="302" t="s">
        <v>19</v>
      </c>
      <c r="AI727" s="301" t="s">
        <v>154</v>
      </c>
      <c r="AJ727" s="221"/>
      <c r="AK727" s="221"/>
      <c r="AL727" s="221"/>
      <c r="AM727" s="221"/>
      <c r="AN727" s="221"/>
      <c r="AO727" s="221"/>
      <c r="AP727" s="302" t="s">
        <v>19</v>
      </c>
      <c r="AQ727" s="195">
        <f>SUM(AT727,AW727,AZ727,BC727,BF727,BI727,BL727)</f>
        <v>2738.8245946313</v>
      </c>
      <c r="AR727" s="197">
        <f>SUM(AT727,AX727,BA727,BD727,BG727,BJ727,BM727)</f>
        <v>0</v>
      </c>
      <c r="AS727" s="195">
        <f>AQ727-AR727</f>
        <v>2738.8245946313</v>
      </c>
      <c r="AT727" s="315"/>
      <c r="AU727" s="315"/>
      <c r="AV727" s="241"/>
      <c r="AW727" s="198"/>
      <c r="AX727" s="313"/>
      <c r="AY727" s="199">
        <f>AW727-AX727</f>
        <v>0</v>
      </c>
      <c r="AZ727" s="173"/>
      <c r="BA727" s="313"/>
      <c r="BB727" s="199">
        <f>AZ727-BA727</f>
        <v>0</v>
      </c>
      <c r="BC727" s="198">
        <f>16432.9475677878-BC726</f>
        <v>2738.8245946313</v>
      </c>
      <c r="BD727" s="313"/>
      <c r="BE727" s="199">
        <f>BC727-BD727</f>
        <v>2738.8245946313</v>
      </c>
      <c r="BF727" s="198"/>
      <c r="BG727" s="241"/>
      <c r="BH727" s="199">
        <f>BF727-BG727</f>
        <v>0</v>
      </c>
      <c r="BI727" s="198"/>
      <c r="BJ727" s="241"/>
      <c r="BK727" s="199">
        <f>BI727-BJ727</f>
        <v>0</v>
      </c>
      <c r="BL727" s="313"/>
      <c r="BM727" s="313"/>
      <c r="BN727" s="195">
        <f>BL727-BM727</f>
        <v>0</v>
      </c>
      <c r="BO727" s="251">
        <v>0</v>
      </c>
      <c r="BP727" s="364"/>
      <c r="BQ727" s="364"/>
      <c r="BR727" s="364"/>
      <c r="BS727" s="249" t="str">
        <f>AG727 &amp; BO727</f>
        <v>Прочие собственные средства0</v>
      </c>
      <c r="BT727" s="364"/>
      <c r="BU727" s="364"/>
      <c r="BV727" s="364"/>
      <c r="BW727" s="364"/>
      <c r="BX727" s="364"/>
      <c r="BY727" s="249" t="str">
        <f>AG727&amp;AH727</f>
        <v>Прочие собственные средстванет</v>
      </c>
      <c r="BZ727" s="250"/>
    </row>
    <row r="728" spans="3:78" ht="15" customHeight="1">
      <c r="C728" s="306"/>
      <c r="D728" s="367"/>
      <c r="E728" s="370"/>
      <c r="F728" s="406"/>
      <c r="G728" s="376"/>
      <c r="H728" s="379"/>
      <c r="I728" s="382"/>
      <c r="J728" s="382"/>
      <c r="K728" s="385"/>
      <c r="L728" s="388"/>
      <c r="M728" s="391"/>
      <c r="N728" s="395"/>
      <c r="O728" s="398"/>
      <c r="P728" s="401"/>
      <c r="Q728" s="404"/>
      <c r="R728" s="363"/>
      <c r="S728" s="363"/>
      <c r="T728" s="363"/>
      <c r="U728" s="363"/>
      <c r="V728" s="363"/>
      <c r="W728" s="363"/>
      <c r="X728" s="363"/>
      <c r="Y728" s="363"/>
      <c r="Z728" s="363"/>
      <c r="AA728" s="363"/>
      <c r="AB728" s="363"/>
      <c r="AC728" s="363"/>
      <c r="AD728" s="363"/>
      <c r="AE728" s="279" t="s">
        <v>379</v>
      </c>
      <c r="AF728" s="203"/>
      <c r="AG728" s="223" t="s">
        <v>24</v>
      </c>
      <c r="AH728" s="223"/>
      <c r="AI728" s="223"/>
      <c r="AJ728" s="223"/>
      <c r="AK728" s="223"/>
      <c r="AL728" s="223"/>
      <c r="AM728" s="223"/>
      <c r="AN728" s="223"/>
      <c r="AO728" s="223"/>
      <c r="AP728" s="168"/>
      <c r="AQ728" s="169"/>
      <c r="AR728" s="169"/>
      <c r="AS728" s="169"/>
      <c r="AT728" s="169"/>
      <c r="AU728" s="169"/>
      <c r="AV728" s="169"/>
      <c r="AW728" s="169"/>
      <c r="AX728" s="169"/>
      <c r="AY728" s="169"/>
      <c r="AZ728" s="169"/>
      <c r="BA728" s="169"/>
      <c r="BB728" s="169"/>
      <c r="BC728" s="169"/>
      <c r="BD728" s="169"/>
      <c r="BE728" s="169"/>
      <c r="BF728" s="169"/>
      <c r="BG728" s="169"/>
      <c r="BH728" s="169"/>
      <c r="BI728" s="169"/>
      <c r="BJ728" s="169"/>
      <c r="BK728" s="169"/>
      <c r="BL728" s="169"/>
      <c r="BM728" s="169"/>
      <c r="BN728" s="170"/>
      <c r="BO728" s="251"/>
      <c r="BP728" s="364"/>
      <c r="BQ728" s="364"/>
      <c r="BR728" s="364"/>
      <c r="BS728" s="250"/>
      <c r="BT728" s="364"/>
      <c r="BU728" s="364"/>
      <c r="BV728" s="364"/>
      <c r="BW728" s="364"/>
      <c r="BX728" s="364"/>
      <c r="BY728" s="250"/>
    </row>
    <row r="729" spans="3:78" ht="15" customHeight="1" thickBot="1">
      <c r="C729" s="307"/>
      <c r="D729" s="368"/>
      <c r="E729" s="371"/>
      <c r="F729" s="407"/>
      <c r="G729" s="377"/>
      <c r="H729" s="380"/>
      <c r="I729" s="383"/>
      <c r="J729" s="383"/>
      <c r="K729" s="386"/>
      <c r="L729" s="389"/>
      <c r="M729" s="392"/>
      <c r="N729" s="280" t="s">
        <v>380</v>
      </c>
      <c r="O729" s="212"/>
      <c r="P729" s="365" t="s">
        <v>154</v>
      </c>
      <c r="Q729" s="365"/>
      <c r="R729" s="171"/>
      <c r="S729" s="171"/>
      <c r="T729" s="166"/>
      <c r="U729" s="166"/>
      <c r="V729" s="166"/>
      <c r="W729" s="166"/>
      <c r="X729" s="166"/>
      <c r="Y729" s="166"/>
      <c r="Z729" s="166"/>
      <c r="AA729" s="166"/>
      <c r="AB729" s="166"/>
      <c r="AC729" s="166"/>
      <c r="AD729" s="166"/>
      <c r="AE729" s="166"/>
      <c r="AF729" s="166"/>
      <c r="AG729" s="166"/>
      <c r="AH729" s="166"/>
      <c r="AI729" s="166"/>
      <c r="AJ729" s="166"/>
      <c r="AK729" s="166"/>
      <c r="AL729" s="166"/>
      <c r="AM729" s="166"/>
      <c r="AN729" s="166"/>
      <c r="AO729" s="166"/>
      <c r="AP729" s="166"/>
      <c r="AQ729" s="166"/>
      <c r="AR729" s="166"/>
      <c r="AS729" s="166"/>
      <c r="AT729" s="166"/>
      <c r="AU729" s="166"/>
      <c r="AV729" s="166"/>
      <c r="AW729" s="166"/>
      <c r="AX729" s="166"/>
      <c r="AY729" s="166"/>
      <c r="AZ729" s="166"/>
      <c r="BA729" s="166"/>
      <c r="BB729" s="166"/>
      <c r="BC729" s="166"/>
      <c r="BD729" s="166"/>
      <c r="BE729" s="166"/>
      <c r="BF729" s="166"/>
      <c r="BG729" s="166"/>
      <c r="BH729" s="166"/>
      <c r="BI729" s="166"/>
      <c r="BJ729" s="166"/>
      <c r="BK729" s="166"/>
      <c r="BL729" s="166"/>
      <c r="BM729" s="166"/>
      <c r="BN729" s="167"/>
      <c r="BO729" s="251"/>
      <c r="BP729" s="250"/>
      <c r="BQ729" s="250"/>
      <c r="BR729" s="250"/>
      <c r="BS729" s="250"/>
      <c r="BT729" s="250"/>
      <c r="BU729" s="250"/>
      <c r="BY729" s="250"/>
    </row>
    <row r="730" spans="3:78" ht="11.25" customHeight="1">
      <c r="C730" s="97" t="s">
        <v>1240</v>
      </c>
      <c r="D730" s="366" t="s">
        <v>1430</v>
      </c>
      <c r="E730" s="369" t="s">
        <v>216</v>
      </c>
      <c r="F730" s="372" t="s">
        <v>154</v>
      </c>
      <c r="G730" s="375" t="s">
        <v>1451</v>
      </c>
      <c r="H730" s="378" t="s">
        <v>715</v>
      </c>
      <c r="I730" s="381" t="s">
        <v>715</v>
      </c>
      <c r="J730" s="381" t="s">
        <v>716</v>
      </c>
      <c r="K730" s="384">
        <v>1</v>
      </c>
      <c r="L730" s="387" t="s">
        <v>4</v>
      </c>
      <c r="M730" s="390">
        <v>0</v>
      </c>
      <c r="N730" s="163"/>
      <c r="O730" s="161"/>
      <c r="P730" s="161"/>
      <c r="Q730" s="161"/>
      <c r="R730" s="161"/>
      <c r="S730" s="161"/>
      <c r="T730" s="161"/>
      <c r="U730" s="161"/>
      <c r="V730" s="161"/>
      <c r="W730" s="161"/>
      <c r="X730" s="161"/>
      <c r="Y730" s="161"/>
      <c r="Z730" s="161"/>
      <c r="AA730" s="161"/>
      <c r="AB730" s="161"/>
      <c r="AC730" s="161"/>
      <c r="AD730" s="161"/>
      <c r="AE730" s="161"/>
      <c r="AF730" s="161"/>
      <c r="AG730" s="161"/>
      <c r="AH730" s="161"/>
      <c r="AI730" s="161"/>
      <c r="AJ730" s="161"/>
      <c r="AK730" s="161"/>
      <c r="AL730" s="161"/>
      <c r="AM730" s="161"/>
      <c r="AN730" s="161"/>
      <c r="AO730" s="161"/>
      <c r="AP730" s="161"/>
      <c r="AQ730" s="161"/>
      <c r="AR730" s="161"/>
      <c r="AS730" s="161"/>
      <c r="AT730" s="161"/>
      <c r="AU730" s="161"/>
      <c r="AV730" s="161"/>
      <c r="AW730" s="161"/>
      <c r="AX730" s="161"/>
      <c r="AY730" s="161"/>
      <c r="AZ730" s="161"/>
      <c r="BA730" s="161"/>
      <c r="BB730" s="161"/>
      <c r="BC730" s="161"/>
      <c r="BD730" s="161"/>
      <c r="BE730" s="161"/>
      <c r="BF730" s="161"/>
      <c r="BG730" s="161"/>
      <c r="BH730" s="161"/>
      <c r="BI730" s="161"/>
      <c r="BJ730" s="161"/>
      <c r="BK730" s="161"/>
      <c r="BL730" s="161"/>
      <c r="BM730" s="161"/>
      <c r="BN730" s="162"/>
      <c r="BO730" s="251"/>
      <c r="BP730" s="250"/>
      <c r="BQ730" s="250"/>
      <c r="BR730" s="250"/>
      <c r="BS730" s="250"/>
      <c r="BT730" s="250"/>
      <c r="BU730" s="250"/>
      <c r="BY730" s="250"/>
    </row>
    <row r="731" spans="3:78" ht="11.25" customHeight="1">
      <c r="C731" s="306"/>
      <c r="D731" s="367"/>
      <c r="E731" s="370"/>
      <c r="F731" s="373"/>
      <c r="G731" s="376"/>
      <c r="H731" s="379"/>
      <c r="I731" s="382"/>
      <c r="J731" s="382"/>
      <c r="K731" s="385"/>
      <c r="L731" s="388"/>
      <c r="M731" s="391"/>
      <c r="N731" s="393"/>
      <c r="O731" s="396">
        <v>1</v>
      </c>
      <c r="P731" s="399" t="s">
        <v>1297</v>
      </c>
      <c r="Q731" s="402"/>
      <c r="R731" s="361" t="s">
        <v>154</v>
      </c>
      <c r="S731" s="361" t="s">
        <v>154</v>
      </c>
      <c r="T731" s="361" t="s">
        <v>154</v>
      </c>
      <c r="U731" s="361" t="s">
        <v>154</v>
      </c>
      <c r="V731" s="361" t="s">
        <v>154</v>
      </c>
      <c r="W731" s="361" t="s">
        <v>154</v>
      </c>
      <c r="X731" s="361" t="s">
        <v>154</v>
      </c>
      <c r="Y731" s="361" t="s">
        <v>154</v>
      </c>
      <c r="Z731" s="361" t="s">
        <v>154</v>
      </c>
      <c r="AA731" s="361" t="s">
        <v>154</v>
      </c>
      <c r="AB731" s="361" t="s">
        <v>154</v>
      </c>
      <c r="AC731" s="361" t="s">
        <v>154</v>
      </c>
      <c r="AD731" s="361" t="s">
        <v>154</v>
      </c>
      <c r="AE731" s="209"/>
      <c r="AF731" s="220">
        <v>0</v>
      </c>
      <c r="AG731" s="219" t="s">
        <v>308</v>
      </c>
      <c r="AH731" s="219"/>
      <c r="AI731" s="219"/>
      <c r="AJ731" s="219"/>
      <c r="AK731" s="219"/>
      <c r="AL731" s="219"/>
      <c r="AM731" s="219"/>
      <c r="AN731" s="219"/>
      <c r="AO731" s="219"/>
      <c r="AP731" s="164"/>
      <c r="AQ731" s="164"/>
      <c r="AR731" s="164"/>
      <c r="AS731" s="164"/>
      <c r="AT731" s="164"/>
      <c r="AU731" s="164"/>
      <c r="AV731" s="164"/>
      <c r="AW731" s="164"/>
      <c r="AX731" s="164"/>
      <c r="AY731" s="164"/>
      <c r="AZ731" s="164"/>
      <c r="BA731" s="164"/>
      <c r="BB731" s="164"/>
      <c r="BC731" s="164"/>
      <c r="BD731" s="164"/>
      <c r="BE731" s="164"/>
      <c r="BF731" s="164"/>
      <c r="BG731" s="164"/>
      <c r="BH731" s="164"/>
      <c r="BI731" s="164"/>
      <c r="BJ731" s="164"/>
      <c r="BK731" s="164"/>
      <c r="BL731" s="164"/>
      <c r="BM731" s="164"/>
      <c r="BN731" s="165"/>
      <c r="BO731" s="251"/>
      <c r="BP731" s="364" t="s">
        <v>1298</v>
      </c>
      <c r="BQ731" s="364" t="s">
        <v>1298</v>
      </c>
      <c r="BR731" s="364" t="s">
        <v>1298</v>
      </c>
      <c r="BS731" s="250"/>
      <c r="BT731" s="364" t="s">
        <v>1298</v>
      </c>
      <c r="BU731" s="364" t="s">
        <v>1298</v>
      </c>
      <c r="BV731" s="364" t="s">
        <v>1298</v>
      </c>
      <c r="BW731" s="364" t="s">
        <v>1298</v>
      </c>
      <c r="BX731" s="364" t="s">
        <v>1298</v>
      </c>
      <c r="BY731" s="250"/>
    </row>
    <row r="732" spans="3:78" ht="14.25">
      <c r="C732" s="306"/>
      <c r="D732" s="367"/>
      <c r="E732" s="370"/>
      <c r="F732" s="373"/>
      <c r="G732" s="376"/>
      <c r="H732" s="379"/>
      <c r="I732" s="382"/>
      <c r="J732" s="382"/>
      <c r="K732" s="385"/>
      <c r="L732" s="388"/>
      <c r="M732" s="391"/>
      <c r="N732" s="394"/>
      <c r="O732" s="397"/>
      <c r="P732" s="400"/>
      <c r="Q732" s="403"/>
      <c r="R732" s="362"/>
      <c r="S732" s="362"/>
      <c r="T732" s="362"/>
      <c r="U732" s="362"/>
      <c r="V732" s="362"/>
      <c r="W732" s="362"/>
      <c r="X732" s="362"/>
      <c r="Y732" s="362"/>
      <c r="Z732" s="362"/>
      <c r="AA732" s="362"/>
      <c r="AB732" s="362"/>
      <c r="AC732" s="362"/>
      <c r="AD732" s="362"/>
      <c r="AE732" s="193"/>
      <c r="AF732" s="217" t="s">
        <v>268</v>
      </c>
      <c r="AG732" s="158" t="s">
        <v>240</v>
      </c>
      <c r="AH732" s="300" t="s">
        <v>19</v>
      </c>
      <c r="AI732" s="301" t="s">
        <v>154</v>
      </c>
      <c r="AJ732" s="221"/>
      <c r="AK732" s="221"/>
      <c r="AL732" s="221"/>
      <c r="AM732" s="221"/>
      <c r="AN732" s="221"/>
      <c r="AO732" s="221"/>
      <c r="AP732" s="302" t="s">
        <v>19</v>
      </c>
      <c r="AQ732" s="195">
        <f>SUM(AT732,AW732,AZ732,BC732,BF732,BI732,BL732)</f>
        <v>798.36204445805333</v>
      </c>
      <c r="AR732" s="197">
        <f>SUM(AT732,AX732,BA732,BD732,BG732,BJ732,BM732)</f>
        <v>0</v>
      </c>
      <c r="AS732" s="195">
        <f>AQ732-AR732</f>
        <v>798.36204445805333</v>
      </c>
      <c r="AT732" s="312"/>
      <c r="AU732" s="312"/>
      <c r="AV732" s="244"/>
      <c r="AW732" s="159"/>
      <c r="AX732" s="312"/>
      <c r="AY732" s="194">
        <f>AW732-AX732</f>
        <v>0</v>
      </c>
      <c r="AZ732" s="160">
        <v>798.36204445805333</v>
      </c>
      <c r="BA732" s="312"/>
      <c r="BB732" s="194">
        <f>AZ732-BA732</f>
        <v>798.36204445805333</v>
      </c>
      <c r="BC732" s="159"/>
      <c r="BD732" s="312"/>
      <c r="BE732" s="194">
        <f>BC732-BD732</f>
        <v>0</v>
      </c>
      <c r="BF732" s="159"/>
      <c r="BG732" s="244"/>
      <c r="BH732" s="194">
        <f>BF732-BG732</f>
        <v>0</v>
      </c>
      <c r="BI732" s="159"/>
      <c r="BJ732" s="244"/>
      <c r="BK732" s="194">
        <f>BI732-BJ732</f>
        <v>0</v>
      </c>
      <c r="BL732" s="312"/>
      <c r="BM732" s="312"/>
      <c r="BN732" s="195">
        <f>BL732-BM732</f>
        <v>0</v>
      </c>
      <c r="BO732" s="251">
        <v>0</v>
      </c>
      <c r="BP732" s="364"/>
      <c r="BQ732" s="364"/>
      <c r="BR732" s="364"/>
      <c r="BS732" s="249" t="str">
        <f>AG732 &amp; BO732</f>
        <v>Прибыль направляемая на инвестиции0</v>
      </c>
      <c r="BT732" s="364"/>
      <c r="BU732" s="364"/>
      <c r="BV732" s="364"/>
      <c r="BW732" s="364"/>
      <c r="BX732" s="364"/>
      <c r="BY732" s="249" t="str">
        <f>AG732&amp;AH732</f>
        <v>Прибыль направляемая на инвестициинет</v>
      </c>
      <c r="BZ732" s="250"/>
    </row>
    <row r="733" spans="3:78" ht="14.25">
      <c r="C733" s="97"/>
      <c r="D733" s="367"/>
      <c r="E733" s="370"/>
      <c r="F733" s="373"/>
      <c r="G733" s="376"/>
      <c r="H733" s="379"/>
      <c r="I733" s="382"/>
      <c r="J733" s="382"/>
      <c r="K733" s="385"/>
      <c r="L733" s="388"/>
      <c r="M733" s="391"/>
      <c r="N733" s="394"/>
      <c r="O733" s="397"/>
      <c r="P733" s="400"/>
      <c r="Q733" s="403"/>
      <c r="R733" s="362"/>
      <c r="S733" s="362"/>
      <c r="T733" s="362"/>
      <c r="U733" s="362"/>
      <c r="V733" s="362"/>
      <c r="W733" s="362"/>
      <c r="X733" s="362"/>
      <c r="Y733" s="362"/>
      <c r="Z733" s="362"/>
      <c r="AA733" s="362"/>
      <c r="AB733" s="362"/>
      <c r="AC733" s="362"/>
      <c r="AD733" s="362"/>
      <c r="AE733" s="322" t="s">
        <v>1240</v>
      </c>
      <c r="AF733" s="217" t="s">
        <v>118</v>
      </c>
      <c r="AG733" s="196" t="s">
        <v>223</v>
      </c>
      <c r="AH733" s="302" t="s">
        <v>19</v>
      </c>
      <c r="AI733" s="301" t="s">
        <v>154</v>
      </c>
      <c r="AJ733" s="221"/>
      <c r="AK733" s="221"/>
      <c r="AL733" s="221"/>
      <c r="AM733" s="221"/>
      <c r="AN733" s="221"/>
      <c r="AO733" s="221"/>
      <c r="AP733" s="302" t="s">
        <v>19</v>
      </c>
      <c r="AQ733" s="195">
        <f>SUM(AT733,AW733,AZ733,BC733,BF733,BI733,BL733)</f>
        <v>159.67240889161064</v>
      </c>
      <c r="AR733" s="197">
        <f>SUM(AT733,AX733,BA733,BD733,BG733,BJ733,BM733)</f>
        <v>0</v>
      </c>
      <c r="AS733" s="195">
        <f>AQ733-AR733</f>
        <v>159.67240889161064</v>
      </c>
      <c r="AT733" s="315"/>
      <c r="AU733" s="315"/>
      <c r="AV733" s="241"/>
      <c r="AW733" s="198"/>
      <c r="AX733" s="313"/>
      <c r="AY733" s="199">
        <f>AW733-AX733</f>
        <v>0</v>
      </c>
      <c r="AZ733" s="173">
        <f>958.034453349664-AZ732</f>
        <v>159.67240889161064</v>
      </c>
      <c r="BA733" s="313"/>
      <c r="BB733" s="199">
        <f>AZ733-BA733</f>
        <v>159.67240889161064</v>
      </c>
      <c r="BC733" s="198"/>
      <c r="BD733" s="313"/>
      <c r="BE733" s="199">
        <f>BC733-BD733</f>
        <v>0</v>
      </c>
      <c r="BF733" s="198"/>
      <c r="BG733" s="241"/>
      <c r="BH733" s="199">
        <f>BF733-BG733</f>
        <v>0</v>
      </c>
      <c r="BI733" s="198"/>
      <c r="BJ733" s="241"/>
      <c r="BK733" s="199">
        <f>BI733-BJ733</f>
        <v>0</v>
      </c>
      <c r="BL733" s="313"/>
      <c r="BM733" s="313"/>
      <c r="BN733" s="195">
        <f>BL733-BM733</f>
        <v>0</v>
      </c>
      <c r="BO733" s="251">
        <v>0</v>
      </c>
      <c r="BP733" s="364"/>
      <c r="BQ733" s="364"/>
      <c r="BR733" s="364"/>
      <c r="BS733" s="249" t="str">
        <f>AG733 &amp; BO733</f>
        <v>Прочие собственные средства0</v>
      </c>
      <c r="BT733" s="364"/>
      <c r="BU733" s="364"/>
      <c r="BV733" s="364"/>
      <c r="BW733" s="364"/>
      <c r="BX733" s="364"/>
      <c r="BY733" s="249" t="str">
        <f>AG733&amp;AH733</f>
        <v>Прочие собственные средстванет</v>
      </c>
      <c r="BZ733" s="250"/>
    </row>
    <row r="734" spans="3:78" ht="15" customHeight="1">
      <c r="C734" s="306"/>
      <c r="D734" s="367"/>
      <c r="E734" s="370"/>
      <c r="F734" s="373"/>
      <c r="G734" s="376"/>
      <c r="H734" s="379"/>
      <c r="I734" s="382"/>
      <c r="J734" s="382"/>
      <c r="K734" s="385"/>
      <c r="L734" s="388"/>
      <c r="M734" s="391"/>
      <c r="N734" s="395"/>
      <c r="O734" s="398"/>
      <c r="P734" s="401"/>
      <c r="Q734" s="404"/>
      <c r="R734" s="363"/>
      <c r="S734" s="363"/>
      <c r="T734" s="363"/>
      <c r="U734" s="363"/>
      <c r="V734" s="363"/>
      <c r="W734" s="363"/>
      <c r="X734" s="363"/>
      <c r="Y734" s="363"/>
      <c r="Z734" s="363"/>
      <c r="AA734" s="363"/>
      <c r="AB734" s="363"/>
      <c r="AC734" s="363"/>
      <c r="AD734" s="363"/>
      <c r="AE734" s="279" t="s">
        <v>379</v>
      </c>
      <c r="AF734" s="203"/>
      <c r="AG734" s="223" t="s">
        <v>24</v>
      </c>
      <c r="AH734" s="223"/>
      <c r="AI734" s="223"/>
      <c r="AJ734" s="223"/>
      <c r="AK734" s="223"/>
      <c r="AL734" s="223"/>
      <c r="AM734" s="223"/>
      <c r="AN734" s="223"/>
      <c r="AO734" s="223"/>
      <c r="AP734" s="168"/>
      <c r="AQ734" s="169"/>
      <c r="AR734" s="169"/>
      <c r="AS734" s="169"/>
      <c r="AT734" s="169"/>
      <c r="AU734" s="169"/>
      <c r="AV734" s="169"/>
      <c r="AW734" s="169"/>
      <c r="AX734" s="169"/>
      <c r="AY734" s="169"/>
      <c r="AZ734" s="169"/>
      <c r="BA734" s="169"/>
      <c r="BB734" s="169"/>
      <c r="BC734" s="169"/>
      <c r="BD734" s="169"/>
      <c r="BE734" s="169"/>
      <c r="BF734" s="169"/>
      <c r="BG734" s="169"/>
      <c r="BH734" s="169"/>
      <c r="BI734" s="169"/>
      <c r="BJ734" s="169"/>
      <c r="BK734" s="169"/>
      <c r="BL734" s="169"/>
      <c r="BM734" s="169"/>
      <c r="BN734" s="170"/>
      <c r="BO734" s="251"/>
      <c r="BP734" s="364"/>
      <c r="BQ734" s="364"/>
      <c r="BR734" s="364"/>
      <c r="BS734" s="250"/>
      <c r="BT734" s="364"/>
      <c r="BU734" s="364"/>
      <c r="BV734" s="364"/>
      <c r="BW734" s="364"/>
      <c r="BX734" s="364"/>
      <c r="BY734" s="250"/>
    </row>
    <row r="735" spans="3:78" ht="15" customHeight="1" thickBot="1">
      <c r="C735" s="307"/>
      <c r="D735" s="368"/>
      <c r="E735" s="371"/>
      <c r="F735" s="374"/>
      <c r="G735" s="377"/>
      <c r="H735" s="380"/>
      <c r="I735" s="383"/>
      <c r="J735" s="383"/>
      <c r="K735" s="386"/>
      <c r="L735" s="389"/>
      <c r="M735" s="392"/>
      <c r="N735" s="280" t="s">
        <v>380</v>
      </c>
      <c r="O735" s="212"/>
      <c r="P735" s="365" t="s">
        <v>154</v>
      </c>
      <c r="Q735" s="365"/>
      <c r="R735" s="171"/>
      <c r="S735" s="171"/>
      <c r="T735" s="166"/>
      <c r="U735" s="166"/>
      <c r="V735" s="166"/>
      <c r="W735" s="166"/>
      <c r="X735" s="166"/>
      <c r="Y735" s="166"/>
      <c r="Z735" s="166"/>
      <c r="AA735" s="166"/>
      <c r="AB735" s="166"/>
      <c r="AC735" s="166"/>
      <c r="AD735" s="166"/>
      <c r="AE735" s="166"/>
      <c r="AF735" s="166"/>
      <c r="AG735" s="166"/>
      <c r="AH735" s="166"/>
      <c r="AI735" s="166"/>
      <c r="AJ735" s="166"/>
      <c r="AK735" s="166"/>
      <c r="AL735" s="166"/>
      <c r="AM735" s="166"/>
      <c r="AN735" s="166"/>
      <c r="AO735" s="166"/>
      <c r="AP735" s="166"/>
      <c r="AQ735" s="166"/>
      <c r="AR735" s="166"/>
      <c r="AS735" s="166"/>
      <c r="AT735" s="166"/>
      <c r="AU735" s="166"/>
      <c r="AV735" s="166"/>
      <c r="AW735" s="166"/>
      <c r="AX735" s="166"/>
      <c r="AY735" s="166"/>
      <c r="AZ735" s="166"/>
      <c r="BA735" s="166"/>
      <c r="BB735" s="166"/>
      <c r="BC735" s="166"/>
      <c r="BD735" s="166"/>
      <c r="BE735" s="166"/>
      <c r="BF735" s="166"/>
      <c r="BG735" s="166"/>
      <c r="BH735" s="166"/>
      <c r="BI735" s="166"/>
      <c r="BJ735" s="166"/>
      <c r="BK735" s="166"/>
      <c r="BL735" s="166"/>
      <c r="BM735" s="166"/>
      <c r="BN735" s="167"/>
      <c r="BO735" s="251"/>
      <c r="BP735" s="250"/>
      <c r="BQ735" s="250"/>
      <c r="BR735" s="250"/>
      <c r="BS735" s="250"/>
      <c r="BT735" s="250"/>
      <c r="BU735" s="250"/>
      <c r="BY735" s="250"/>
    </row>
    <row r="736" spans="3:78" ht="11.25" customHeight="1">
      <c r="C736" s="97" t="s">
        <v>1240</v>
      </c>
      <c r="D736" s="366" t="s">
        <v>1431</v>
      </c>
      <c r="E736" s="369" t="s">
        <v>216</v>
      </c>
      <c r="F736" s="372" t="s">
        <v>154</v>
      </c>
      <c r="G736" s="375" t="s">
        <v>1452</v>
      </c>
      <c r="H736" s="378" t="s">
        <v>715</v>
      </c>
      <c r="I736" s="381" t="s">
        <v>715</v>
      </c>
      <c r="J736" s="381" t="s">
        <v>716</v>
      </c>
      <c r="K736" s="384">
        <v>2</v>
      </c>
      <c r="L736" s="387" t="s">
        <v>5</v>
      </c>
      <c r="M736" s="390">
        <v>0</v>
      </c>
      <c r="N736" s="163"/>
      <c r="O736" s="161"/>
      <c r="P736" s="161"/>
      <c r="Q736" s="161"/>
      <c r="R736" s="161"/>
      <c r="S736" s="161"/>
      <c r="T736" s="161"/>
      <c r="U736" s="161"/>
      <c r="V736" s="161"/>
      <c r="W736" s="161"/>
      <c r="X736" s="161"/>
      <c r="Y736" s="161"/>
      <c r="Z736" s="161"/>
      <c r="AA736" s="161"/>
      <c r="AB736" s="161"/>
      <c r="AC736" s="161"/>
      <c r="AD736" s="161"/>
      <c r="AE736" s="161"/>
      <c r="AF736" s="161"/>
      <c r="AG736" s="161"/>
      <c r="AH736" s="161"/>
      <c r="AI736" s="161"/>
      <c r="AJ736" s="161"/>
      <c r="AK736" s="161"/>
      <c r="AL736" s="161"/>
      <c r="AM736" s="161"/>
      <c r="AN736" s="161"/>
      <c r="AO736" s="161"/>
      <c r="AP736" s="161"/>
      <c r="AQ736" s="161"/>
      <c r="AR736" s="161"/>
      <c r="AS736" s="161"/>
      <c r="AT736" s="161"/>
      <c r="AU736" s="161"/>
      <c r="AV736" s="161"/>
      <c r="AW736" s="161"/>
      <c r="AX736" s="161"/>
      <c r="AY736" s="161"/>
      <c r="AZ736" s="161"/>
      <c r="BA736" s="161"/>
      <c r="BB736" s="161"/>
      <c r="BC736" s="161"/>
      <c r="BD736" s="161"/>
      <c r="BE736" s="161"/>
      <c r="BF736" s="161"/>
      <c r="BG736" s="161"/>
      <c r="BH736" s="161"/>
      <c r="BI736" s="161"/>
      <c r="BJ736" s="161"/>
      <c r="BK736" s="161"/>
      <c r="BL736" s="161"/>
      <c r="BM736" s="161"/>
      <c r="BN736" s="162"/>
      <c r="BO736" s="251"/>
      <c r="BP736" s="250"/>
      <c r="BQ736" s="250"/>
      <c r="BR736" s="250"/>
      <c r="BS736" s="250"/>
      <c r="BT736" s="250"/>
      <c r="BU736" s="250"/>
      <c r="BY736" s="250"/>
    </row>
    <row r="737" spans="3:78" ht="11.25" customHeight="1">
      <c r="C737" s="306"/>
      <c r="D737" s="367"/>
      <c r="E737" s="370"/>
      <c r="F737" s="373"/>
      <c r="G737" s="376"/>
      <c r="H737" s="379"/>
      <c r="I737" s="382"/>
      <c r="J737" s="382"/>
      <c r="K737" s="385"/>
      <c r="L737" s="388"/>
      <c r="M737" s="391"/>
      <c r="N737" s="393"/>
      <c r="O737" s="396">
        <v>1</v>
      </c>
      <c r="P737" s="399" t="s">
        <v>1297</v>
      </c>
      <c r="Q737" s="402"/>
      <c r="R737" s="361" t="s">
        <v>154</v>
      </c>
      <c r="S737" s="361" t="s">
        <v>154</v>
      </c>
      <c r="T737" s="361" t="s">
        <v>154</v>
      </c>
      <c r="U737" s="361" t="s">
        <v>154</v>
      </c>
      <c r="V737" s="361" t="s">
        <v>154</v>
      </c>
      <c r="W737" s="361" t="s">
        <v>154</v>
      </c>
      <c r="X737" s="361" t="s">
        <v>154</v>
      </c>
      <c r="Y737" s="361" t="s">
        <v>154</v>
      </c>
      <c r="Z737" s="361" t="s">
        <v>154</v>
      </c>
      <c r="AA737" s="361" t="s">
        <v>154</v>
      </c>
      <c r="AB737" s="361" t="s">
        <v>154</v>
      </c>
      <c r="AC737" s="361" t="s">
        <v>154</v>
      </c>
      <c r="AD737" s="361" t="s">
        <v>154</v>
      </c>
      <c r="AE737" s="209"/>
      <c r="AF737" s="220">
        <v>0</v>
      </c>
      <c r="AG737" s="219" t="s">
        <v>308</v>
      </c>
      <c r="AH737" s="219"/>
      <c r="AI737" s="219"/>
      <c r="AJ737" s="219"/>
      <c r="AK737" s="219"/>
      <c r="AL737" s="219"/>
      <c r="AM737" s="219"/>
      <c r="AN737" s="219"/>
      <c r="AO737" s="219"/>
      <c r="AP737" s="164"/>
      <c r="AQ737" s="164"/>
      <c r="AR737" s="164"/>
      <c r="AS737" s="164"/>
      <c r="AT737" s="164"/>
      <c r="AU737" s="164"/>
      <c r="AV737" s="164"/>
      <c r="AW737" s="164"/>
      <c r="AX737" s="164"/>
      <c r="AY737" s="164"/>
      <c r="AZ737" s="164"/>
      <c r="BA737" s="164"/>
      <c r="BB737" s="164"/>
      <c r="BC737" s="164"/>
      <c r="BD737" s="164"/>
      <c r="BE737" s="164"/>
      <c r="BF737" s="164"/>
      <c r="BG737" s="164"/>
      <c r="BH737" s="164"/>
      <c r="BI737" s="164"/>
      <c r="BJ737" s="164"/>
      <c r="BK737" s="164"/>
      <c r="BL737" s="164"/>
      <c r="BM737" s="164"/>
      <c r="BN737" s="165"/>
      <c r="BO737" s="251"/>
      <c r="BP737" s="364" t="s">
        <v>1298</v>
      </c>
      <c r="BQ737" s="364" t="s">
        <v>1298</v>
      </c>
      <c r="BR737" s="364" t="s">
        <v>1298</v>
      </c>
      <c r="BS737" s="250"/>
      <c r="BT737" s="364" t="s">
        <v>1298</v>
      </c>
      <c r="BU737" s="364" t="s">
        <v>1298</v>
      </c>
      <c r="BV737" s="364" t="s">
        <v>1298</v>
      </c>
      <c r="BW737" s="364" t="s">
        <v>1298</v>
      </c>
      <c r="BX737" s="364" t="s">
        <v>1298</v>
      </c>
      <c r="BY737" s="250"/>
    </row>
    <row r="738" spans="3:78" ht="14.25">
      <c r="C738" s="306"/>
      <c r="D738" s="367"/>
      <c r="E738" s="370"/>
      <c r="F738" s="373"/>
      <c r="G738" s="376"/>
      <c r="H738" s="379"/>
      <c r="I738" s="382"/>
      <c r="J738" s="382"/>
      <c r="K738" s="385"/>
      <c r="L738" s="388"/>
      <c r="M738" s="391"/>
      <c r="N738" s="394"/>
      <c r="O738" s="397"/>
      <c r="P738" s="400"/>
      <c r="Q738" s="403"/>
      <c r="R738" s="362"/>
      <c r="S738" s="362"/>
      <c r="T738" s="362"/>
      <c r="U738" s="362"/>
      <c r="V738" s="362"/>
      <c r="W738" s="362"/>
      <c r="X738" s="362"/>
      <c r="Y738" s="362"/>
      <c r="Z738" s="362"/>
      <c r="AA738" s="362"/>
      <c r="AB738" s="362"/>
      <c r="AC738" s="362"/>
      <c r="AD738" s="362"/>
      <c r="AE738" s="193"/>
      <c r="AF738" s="217" t="s">
        <v>268</v>
      </c>
      <c r="AG738" s="158" t="s">
        <v>226</v>
      </c>
      <c r="AH738" s="300" t="s">
        <v>19</v>
      </c>
      <c r="AI738" s="301" t="s">
        <v>154</v>
      </c>
      <c r="AJ738" s="221"/>
      <c r="AK738" s="221"/>
      <c r="AL738" s="221"/>
      <c r="AM738" s="221"/>
      <c r="AN738" s="221"/>
      <c r="AO738" s="221"/>
      <c r="AP738" s="302" t="s">
        <v>19</v>
      </c>
      <c r="AQ738" s="195">
        <f>SUM(AT738,AW738,AZ738,BC738,BF738,BI738,BL738)</f>
        <v>1420262.8613774804</v>
      </c>
      <c r="AR738" s="197">
        <f>SUM(AT738,AX738,BA738,BD738,BG738,BJ738,BM738)</f>
        <v>0</v>
      </c>
      <c r="AS738" s="195">
        <f>AQ738-AR738</f>
        <v>1420262.8613774804</v>
      </c>
      <c r="AT738" s="312"/>
      <c r="AU738" s="312"/>
      <c r="AV738" s="244"/>
      <c r="AW738" s="159"/>
      <c r="AX738" s="312"/>
      <c r="AY738" s="194">
        <f>AW738-AX738</f>
        <v>0</v>
      </c>
      <c r="AZ738" s="160">
        <v>17553.462052522002</v>
      </c>
      <c r="BA738" s="312"/>
      <c r="BB738" s="194">
        <f>AZ738-BA738</f>
        <v>17553.462052522002</v>
      </c>
      <c r="BC738" s="159">
        <v>1402709.3993249584</v>
      </c>
      <c r="BD738" s="312"/>
      <c r="BE738" s="194">
        <f>BC738-BD738</f>
        <v>1402709.3993249584</v>
      </c>
      <c r="BF738" s="159"/>
      <c r="BG738" s="244"/>
      <c r="BH738" s="194">
        <f>BF738-BG738</f>
        <v>0</v>
      </c>
      <c r="BI738" s="159"/>
      <c r="BJ738" s="244"/>
      <c r="BK738" s="194">
        <f>BI738-BJ738</f>
        <v>0</v>
      </c>
      <c r="BL738" s="312"/>
      <c r="BM738" s="312"/>
      <c r="BN738" s="195">
        <f>BL738-BM738</f>
        <v>0</v>
      </c>
      <c r="BO738" s="251">
        <v>0</v>
      </c>
      <c r="BP738" s="364"/>
      <c r="BQ738" s="364"/>
      <c r="BR738" s="364"/>
      <c r="BS738" s="249" t="str">
        <f>AG738 &amp; BO738</f>
        <v>Кредиты0</v>
      </c>
      <c r="BT738" s="364"/>
      <c r="BU738" s="364"/>
      <c r="BV738" s="364"/>
      <c r="BW738" s="364"/>
      <c r="BX738" s="364"/>
      <c r="BY738" s="249" t="str">
        <f>AG738&amp;AH738</f>
        <v>Кредитынет</v>
      </c>
      <c r="BZ738" s="250"/>
    </row>
    <row r="739" spans="3:78" ht="14.25">
      <c r="C739" s="97"/>
      <c r="D739" s="367"/>
      <c r="E739" s="370"/>
      <c r="F739" s="373"/>
      <c r="G739" s="376"/>
      <c r="H739" s="379"/>
      <c r="I739" s="382"/>
      <c r="J739" s="382"/>
      <c r="K739" s="385"/>
      <c r="L739" s="388"/>
      <c r="M739" s="391"/>
      <c r="N739" s="394"/>
      <c r="O739" s="397"/>
      <c r="P739" s="400"/>
      <c r="Q739" s="403"/>
      <c r="R739" s="362"/>
      <c r="S739" s="362"/>
      <c r="T739" s="362"/>
      <c r="U739" s="362"/>
      <c r="V739" s="362"/>
      <c r="W739" s="362"/>
      <c r="X739" s="362"/>
      <c r="Y739" s="362"/>
      <c r="Z739" s="362"/>
      <c r="AA739" s="362"/>
      <c r="AB739" s="362"/>
      <c r="AC739" s="362"/>
      <c r="AD739" s="362"/>
      <c r="AE739" s="322" t="s">
        <v>1240</v>
      </c>
      <c r="AF739" s="217" t="s">
        <v>118</v>
      </c>
      <c r="AG739" s="196" t="s">
        <v>230</v>
      </c>
      <c r="AH739" s="302" t="s">
        <v>19</v>
      </c>
      <c r="AI739" s="301" t="s">
        <v>154</v>
      </c>
      <c r="AJ739" s="221"/>
      <c r="AK739" s="221"/>
      <c r="AL739" s="221"/>
      <c r="AM739" s="221"/>
      <c r="AN739" s="221"/>
      <c r="AO739" s="221"/>
      <c r="AP739" s="302" t="s">
        <v>19</v>
      </c>
      <c r="AQ739" s="195">
        <f>SUM(AT739,AW739,AZ739,BC739,BF739,BI739,BL739)</f>
        <v>284052.57227549603</v>
      </c>
      <c r="AR739" s="197">
        <f>SUM(AT739,AX739,BA739,BD739,BG739,BJ739,BM739)</f>
        <v>0</v>
      </c>
      <c r="AS739" s="195">
        <f>AQ739-AR739</f>
        <v>284052.57227549603</v>
      </c>
      <c r="AT739" s="315"/>
      <c r="AU739" s="315"/>
      <c r="AV739" s="241"/>
      <c r="AW739" s="198"/>
      <c r="AX739" s="313"/>
      <c r="AY739" s="199">
        <f>AW739-AX739</f>
        <v>0</v>
      </c>
      <c r="AZ739" s="173">
        <f>21064.1544630264-AZ738</f>
        <v>3510.6924105043981</v>
      </c>
      <c r="BA739" s="313"/>
      <c r="BB739" s="199">
        <f>AZ739-BA739</f>
        <v>3510.6924105043981</v>
      </c>
      <c r="BC739" s="198">
        <f>1683251.27918995-BC738</f>
        <v>280541.87986499164</v>
      </c>
      <c r="BD739" s="313"/>
      <c r="BE739" s="199">
        <f>BC739-BD739</f>
        <v>280541.87986499164</v>
      </c>
      <c r="BF739" s="198"/>
      <c r="BG739" s="241"/>
      <c r="BH739" s="199">
        <f>BF739-BG739</f>
        <v>0</v>
      </c>
      <c r="BI739" s="198"/>
      <c r="BJ739" s="241"/>
      <c r="BK739" s="199">
        <f>BI739-BJ739</f>
        <v>0</v>
      </c>
      <c r="BL739" s="313"/>
      <c r="BM739" s="313"/>
      <c r="BN739" s="195">
        <f>BL739-BM739</f>
        <v>0</v>
      </c>
      <c r="BO739" s="251">
        <v>0</v>
      </c>
      <c r="BP739" s="364"/>
      <c r="BQ739" s="364"/>
      <c r="BR739" s="364"/>
      <c r="BS739" s="249" t="str">
        <f>AG739 &amp; BO739</f>
        <v>Прочие привлеченные средства0</v>
      </c>
      <c r="BT739" s="364"/>
      <c r="BU739" s="364"/>
      <c r="BV739" s="364"/>
      <c r="BW739" s="364"/>
      <c r="BX739" s="364"/>
      <c r="BY739" s="249" t="str">
        <f>AG739&amp;AH739</f>
        <v>Прочие привлеченные средстванет</v>
      </c>
      <c r="BZ739" s="250"/>
    </row>
    <row r="740" spans="3:78" ht="15" customHeight="1">
      <c r="C740" s="306"/>
      <c r="D740" s="367"/>
      <c r="E740" s="370"/>
      <c r="F740" s="373"/>
      <c r="G740" s="376"/>
      <c r="H740" s="379"/>
      <c r="I740" s="382"/>
      <c r="J740" s="382"/>
      <c r="K740" s="385"/>
      <c r="L740" s="388"/>
      <c r="M740" s="391"/>
      <c r="N740" s="395"/>
      <c r="O740" s="398"/>
      <c r="P740" s="401"/>
      <c r="Q740" s="404"/>
      <c r="R740" s="363"/>
      <c r="S740" s="363"/>
      <c r="T740" s="363"/>
      <c r="U740" s="363"/>
      <c r="V740" s="363"/>
      <c r="W740" s="363"/>
      <c r="X740" s="363"/>
      <c r="Y740" s="363"/>
      <c r="Z740" s="363"/>
      <c r="AA740" s="363"/>
      <c r="AB740" s="363"/>
      <c r="AC740" s="363"/>
      <c r="AD740" s="363"/>
      <c r="AE740" s="279" t="s">
        <v>379</v>
      </c>
      <c r="AF740" s="203"/>
      <c r="AG740" s="223" t="s">
        <v>24</v>
      </c>
      <c r="AH740" s="223"/>
      <c r="AI740" s="223"/>
      <c r="AJ740" s="223"/>
      <c r="AK740" s="223"/>
      <c r="AL740" s="223"/>
      <c r="AM740" s="223"/>
      <c r="AN740" s="223"/>
      <c r="AO740" s="223"/>
      <c r="AP740" s="168"/>
      <c r="AQ740" s="169"/>
      <c r="AR740" s="169"/>
      <c r="AS740" s="169"/>
      <c r="AT740" s="169"/>
      <c r="AU740" s="169"/>
      <c r="AV740" s="169"/>
      <c r="AW740" s="169"/>
      <c r="AX740" s="169"/>
      <c r="AY740" s="169"/>
      <c r="AZ740" s="169"/>
      <c r="BA740" s="169"/>
      <c r="BB740" s="169"/>
      <c r="BC740" s="169"/>
      <c r="BD740" s="169"/>
      <c r="BE740" s="169"/>
      <c r="BF740" s="169"/>
      <c r="BG740" s="169"/>
      <c r="BH740" s="169"/>
      <c r="BI740" s="169"/>
      <c r="BJ740" s="169"/>
      <c r="BK740" s="169"/>
      <c r="BL740" s="169"/>
      <c r="BM740" s="169"/>
      <c r="BN740" s="170"/>
      <c r="BO740" s="251"/>
      <c r="BP740" s="364"/>
      <c r="BQ740" s="364"/>
      <c r="BR740" s="364"/>
      <c r="BS740" s="250"/>
      <c r="BT740" s="364"/>
      <c r="BU740" s="364"/>
      <c r="BV740" s="364"/>
      <c r="BW740" s="364"/>
      <c r="BX740" s="364"/>
      <c r="BY740" s="250"/>
    </row>
    <row r="741" spans="3:78" ht="15" customHeight="1" thickBot="1">
      <c r="C741" s="307"/>
      <c r="D741" s="368"/>
      <c r="E741" s="371"/>
      <c r="F741" s="374"/>
      <c r="G741" s="377"/>
      <c r="H741" s="380"/>
      <c r="I741" s="383"/>
      <c r="J741" s="383"/>
      <c r="K741" s="386"/>
      <c r="L741" s="389"/>
      <c r="M741" s="392"/>
      <c r="N741" s="280" t="s">
        <v>380</v>
      </c>
      <c r="O741" s="212"/>
      <c r="P741" s="365" t="s">
        <v>154</v>
      </c>
      <c r="Q741" s="365"/>
      <c r="R741" s="171"/>
      <c r="S741" s="171"/>
      <c r="T741" s="166"/>
      <c r="U741" s="166"/>
      <c r="V741" s="166"/>
      <c r="W741" s="166"/>
      <c r="X741" s="166"/>
      <c r="Y741" s="166"/>
      <c r="Z741" s="166"/>
      <c r="AA741" s="166"/>
      <c r="AB741" s="166"/>
      <c r="AC741" s="166"/>
      <c r="AD741" s="166"/>
      <c r="AE741" s="166"/>
      <c r="AF741" s="166"/>
      <c r="AG741" s="166"/>
      <c r="AH741" s="166"/>
      <c r="AI741" s="166"/>
      <c r="AJ741" s="166"/>
      <c r="AK741" s="166"/>
      <c r="AL741" s="166"/>
      <c r="AM741" s="166"/>
      <c r="AN741" s="166"/>
      <c r="AO741" s="166"/>
      <c r="AP741" s="166"/>
      <c r="AQ741" s="166"/>
      <c r="AR741" s="166"/>
      <c r="AS741" s="166"/>
      <c r="AT741" s="166"/>
      <c r="AU741" s="166"/>
      <c r="AV741" s="166"/>
      <c r="AW741" s="166"/>
      <c r="AX741" s="166"/>
      <c r="AY741" s="166"/>
      <c r="AZ741" s="166"/>
      <c r="BA741" s="166"/>
      <c r="BB741" s="166"/>
      <c r="BC741" s="166"/>
      <c r="BD741" s="166"/>
      <c r="BE741" s="166"/>
      <c r="BF741" s="166"/>
      <c r="BG741" s="166"/>
      <c r="BH741" s="166"/>
      <c r="BI741" s="166"/>
      <c r="BJ741" s="166"/>
      <c r="BK741" s="166"/>
      <c r="BL741" s="166"/>
      <c r="BM741" s="166"/>
      <c r="BN741" s="167"/>
      <c r="BO741" s="251"/>
      <c r="BP741" s="250"/>
      <c r="BQ741" s="250"/>
      <c r="BR741" s="250"/>
      <c r="BS741" s="250"/>
      <c r="BT741" s="250"/>
      <c r="BU741" s="250"/>
      <c r="BY741" s="250"/>
    </row>
    <row r="742" spans="3:78" ht="11.25" customHeight="1">
      <c r="C742" s="97" t="s">
        <v>1240</v>
      </c>
      <c r="D742" s="366" t="s">
        <v>1432</v>
      </c>
      <c r="E742" s="369" t="s">
        <v>216</v>
      </c>
      <c r="F742" s="372" t="s">
        <v>154</v>
      </c>
      <c r="G742" s="375" t="s">
        <v>1453</v>
      </c>
      <c r="H742" s="378" t="s">
        <v>715</v>
      </c>
      <c r="I742" s="381" t="s">
        <v>715</v>
      </c>
      <c r="J742" s="381" t="s">
        <v>716</v>
      </c>
      <c r="K742" s="384">
        <v>2</v>
      </c>
      <c r="L742" s="387" t="s">
        <v>5</v>
      </c>
      <c r="M742" s="390">
        <v>0</v>
      </c>
      <c r="N742" s="163"/>
      <c r="O742" s="161"/>
      <c r="P742" s="161"/>
      <c r="Q742" s="161"/>
      <c r="R742" s="161"/>
      <c r="S742" s="161"/>
      <c r="T742" s="161"/>
      <c r="U742" s="161"/>
      <c r="V742" s="161"/>
      <c r="W742" s="161"/>
      <c r="X742" s="161"/>
      <c r="Y742" s="161"/>
      <c r="Z742" s="161"/>
      <c r="AA742" s="161"/>
      <c r="AB742" s="161"/>
      <c r="AC742" s="161"/>
      <c r="AD742" s="161"/>
      <c r="AE742" s="161"/>
      <c r="AF742" s="161"/>
      <c r="AG742" s="161"/>
      <c r="AH742" s="161"/>
      <c r="AI742" s="161"/>
      <c r="AJ742" s="161"/>
      <c r="AK742" s="161"/>
      <c r="AL742" s="161"/>
      <c r="AM742" s="161"/>
      <c r="AN742" s="161"/>
      <c r="AO742" s="161"/>
      <c r="AP742" s="161"/>
      <c r="AQ742" s="161"/>
      <c r="AR742" s="161"/>
      <c r="AS742" s="161"/>
      <c r="AT742" s="161"/>
      <c r="AU742" s="161"/>
      <c r="AV742" s="161"/>
      <c r="AW742" s="161"/>
      <c r="AX742" s="161"/>
      <c r="AY742" s="161"/>
      <c r="AZ742" s="161"/>
      <c r="BA742" s="161"/>
      <c r="BB742" s="161"/>
      <c r="BC742" s="161"/>
      <c r="BD742" s="161"/>
      <c r="BE742" s="161"/>
      <c r="BF742" s="161"/>
      <c r="BG742" s="161"/>
      <c r="BH742" s="161"/>
      <c r="BI742" s="161"/>
      <c r="BJ742" s="161"/>
      <c r="BK742" s="161"/>
      <c r="BL742" s="161"/>
      <c r="BM742" s="161"/>
      <c r="BN742" s="162"/>
      <c r="BO742" s="251"/>
      <c r="BP742" s="250"/>
      <c r="BQ742" s="250"/>
      <c r="BR742" s="250"/>
      <c r="BS742" s="250"/>
      <c r="BT742" s="250"/>
      <c r="BU742" s="250"/>
      <c r="BY742" s="250"/>
    </row>
    <row r="743" spans="3:78" ht="11.25" customHeight="1">
      <c r="C743" s="306"/>
      <c r="D743" s="367"/>
      <c r="E743" s="370"/>
      <c r="F743" s="373"/>
      <c r="G743" s="376"/>
      <c r="H743" s="379"/>
      <c r="I743" s="382"/>
      <c r="J743" s="382"/>
      <c r="K743" s="385"/>
      <c r="L743" s="388"/>
      <c r="M743" s="391"/>
      <c r="N743" s="393"/>
      <c r="O743" s="396">
        <v>1</v>
      </c>
      <c r="P743" s="399" t="s">
        <v>1297</v>
      </c>
      <c r="Q743" s="402"/>
      <c r="R743" s="361" t="s">
        <v>154</v>
      </c>
      <c r="S743" s="361" t="s">
        <v>154</v>
      </c>
      <c r="T743" s="361" t="s">
        <v>154</v>
      </c>
      <c r="U743" s="361" t="s">
        <v>154</v>
      </c>
      <c r="V743" s="361" t="s">
        <v>154</v>
      </c>
      <c r="W743" s="361" t="s">
        <v>154</v>
      </c>
      <c r="X743" s="361" t="s">
        <v>154</v>
      </c>
      <c r="Y743" s="361" t="s">
        <v>154</v>
      </c>
      <c r="Z743" s="361" t="s">
        <v>154</v>
      </c>
      <c r="AA743" s="361" t="s">
        <v>154</v>
      </c>
      <c r="AB743" s="361" t="s">
        <v>154</v>
      </c>
      <c r="AC743" s="361" t="s">
        <v>154</v>
      </c>
      <c r="AD743" s="361" t="s">
        <v>154</v>
      </c>
      <c r="AE743" s="209"/>
      <c r="AF743" s="220">
        <v>0</v>
      </c>
      <c r="AG743" s="219" t="s">
        <v>308</v>
      </c>
      <c r="AH743" s="219"/>
      <c r="AI743" s="219"/>
      <c r="AJ743" s="219"/>
      <c r="AK743" s="219"/>
      <c r="AL743" s="219"/>
      <c r="AM743" s="219"/>
      <c r="AN743" s="219"/>
      <c r="AO743" s="219"/>
      <c r="AP743" s="164"/>
      <c r="AQ743" s="164"/>
      <c r="AR743" s="164"/>
      <c r="AS743" s="164"/>
      <c r="AT743" s="164"/>
      <c r="AU743" s="164"/>
      <c r="AV743" s="164"/>
      <c r="AW743" s="164"/>
      <c r="AX743" s="164"/>
      <c r="AY743" s="164"/>
      <c r="AZ743" s="164"/>
      <c r="BA743" s="164"/>
      <c r="BB743" s="164"/>
      <c r="BC743" s="164"/>
      <c r="BD743" s="164"/>
      <c r="BE743" s="164"/>
      <c r="BF743" s="164"/>
      <c r="BG743" s="164"/>
      <c r="BH743" s="164"/>
      <c r="BI743" s="164"/>
      <c r="BJ743" s="164"/>
      <c r="BK743" s="164"/>
      <c r="BL743" s="164"/>
      <c r="BM743" s="164"/>
      <c r="BN743" s="165"/>
      <c r="BO743" s="251"/>
      <c r="BP743" s="364" t="s">
        <v>1298</v>
      </c>
      <c r="BQ743" s="364" t="s">
        <v>1298</v>
      </c>
      <c r="BR743" s="364" t="s">
        <v>1298</v>
      </c>
      <c r="BS743" s="250"/>
      <c r="BT743" s="364" t="s">
        <v>1298</v>
      </c>
      <c r="BU743" s="364" t="s">
        <v>1298</v>
      </c>
      <c r="BV743" s="364" t="s">
        <v>1298</v>
      </c>
      <c r="BW743" s="364" t="s">
        <v>1298</v>
      </c>
      <c r="BX743" s="364" t="s">
        <v>1298</v>
      </c>
      <c r="BY743" s="250"/>
    </row>
    <row r="744" spans="3:78" ht="14.25">
      <c r="C744" s="306"/>
      <c r="D744" s="367"/>
      <c r="E744" s="370"/>
      <c r="F744" s="373"/>
      <c r="G744" s="376"/>
      <c r="H744" s="379"/>
      <c r="I744" s="382"/>
      <c r="J744" s="382"/>
      <c r="K744" s="385"/>
      <c r="L744" s="388"/>
      <c r="M744" s="391"/>
      <c r="N744" s="394"/>
      <c r="O744" s="397"/>
      <c r="P744" s="400"/>
      <c r="Q744" s="403"/>
      <c r="R744" s="362"/>
      <c r="S744" s="362"/>
      <c r="T744" s="362"/>
      <c r="U744" s="362"/>
      <c r="V744" s="362"/>
      <c r="W744" s="362"/>
      <c r="X744" s="362"/>
      <c r="Y744" s="362"/>
      <c r="Z744" s="362"/>
      <c r="AA744" s="362"/>
      <c r="AB744" s="362"/>
      <c r="AC744" s="362"/>
      <c r="AD744" s="362"/>
      <c r="AE744" s="193"/>
      <c r="AF744" s="217" t="s">
        <v>268</v>
      </c>
      <c r="AG744" s="158" t="s">
        <v>226</v>
      </c>
      <c r="AH744" s="300" t="s">
        <v>19</v>
      </c>
      <c r="AI744" s="301" t="s">
        <v>154</v>
      </c>
      <c r="AJ744" s="221"/>
      <c r="AK744" s="221"/>
      <c r="AL744" s="221"/>
      <c r="AM744" s="221"/>
      <c r="AN744" s="221"/>
      <c r="AO744" s="221"/>
      <c r="AP744" s="302" t="s">
        <v>19</v>
      </c>
      <c r="AQ744" s="195">
        <f>SUM(AT744,AW744,AZ744,BC744,BF744,BI744,BL744)</f>
        <v>313168.26726296562</v>
      </c>
      <c r="AR744" s="197">
        <f>SUM(AT744,AX744,BA744,BD744,BG744,BJ744,BM744)</f>
        <v>0</v>
      </c>
      <c r="AS744" s="195">
        <f>AQ744-AR744</f>
        <v>313168.26726296562</v>
      </c>
      <c r="AT744" s="312"/>
      <c r="AU744" s="312"/>
      <c r="AV744" s="244"/>
      <c r="AW744" s="159"/>
      <c r="AX744" s="312"/>
      <c r="AY744" s="194">
        <f>AW744-AX744</f>
        <v>0</v>
      </c>
      <c r="AZ744" s="160">
        <v>3653.9236272589415</v>
      </c>
      <c r="BA744" s="312"/>
      <c r="BB744" s="194">
        <f>AZ744-BA744</f>
        <v>3653.9236272589415</v>
      </c>
      <c r="BC744" s="159">
        <v>309514.3436357067</v>
      </c>
      <c r="BD744" s="312"/>
      <c r="BE744" s="194">
        <f>BC744-BD744</f>
        <v>309514.3436357067</v>
      </c>
      <c r="BF744" s="159"/>
      <c r="BG744" s="244"/>
      <c r="BH744" s="194">
        <f>BF744-BG744</f>
        <v>0</v>
      </c>
      <c r="BI744" s="159"/>
      <c r="BJ744" s="244"/>
      <c r="BK744" s="194">
        <f>BI744-BJ744</f>
        <v>0</v>
      </c>
      <c r="BL744" s="312"/>
      <c r="BM744" s="312"/>
      <c r="BN744" s="195">
        <f>BL744-BM744</f>
        <v>0</v>
      </c>
      <c r="BO744" s="251">
        <v>0</v>
      </c>
      <c r="BP744" s="364"/>
      <c r="BQ744" s="364"/>
      <c r="BR744" s="364"/>
      <c r="BS744" s="249" t="str">
        <f>AG744 &amp; BO744</f>
        <v>Кредиты0</v>
      </c>
      <c r="BT744" s="364"/>
      <c r="BU744" s="364"/>
      <c r="BV744" s="364"/>
      <c r="BW744" s="364"/>
      <c r="BX744" s="364"/>
      <c r="BY744" s="249" t="str">
        <f>AG744&amp;AH744</f>
        <v>Кредитынет</v>
      </c>
      <c r="BZ744" s="250"/>
    </row>
    <row r="745" spans="3:78" ht="14.25">
      <c r="C745" s="97"/>
      <c r="D745" s="367"/>
      <c r="E745" s="370"/>
      <c r="F745" s="373"/>
      <c r="G745" s="376"/>
      <c r="H745" s="379"/>
      <c r="I745" s="382"/>
      <c r="J745" s="382"/>
      <c r="K745" s="385"/>
      <c r="L745" s="388"/>
      <c r="M745" s="391"/>
      <c r="N745" s="394"/>
      <c r="O745" s="397"/>
      <c r="P745" s="400"/>
      <c r="Q745" s="403"/>
      <c r="R745" s="362"/>
      <c r="S745" s="362"/>
      <c r="T745" s="362"/>
      <c r="U745" s="362"/>
      <c r="V745" s="362"/>
      <c r="W745" s="362"/>
      <c r="X745" s="362"/>
      <c r="Y745" s="362"/>
      <c r="Z745" s="362"/>
      <c r="AA745" s="362"/>
      <c r="AB745" s="362"/>
      <c r="AC745" s="362"/>
      <c r="AD745" s="362"/>
      <c r="AE745" s="322" t="s">
        <v>1240</v>
      </c>
      <c r="AF745" s="217" t="s">
        <v>118</v>
      </c>
      <c r="AG745" s="196" t="s">
        <v>230</v>
      </c>
      <c r="AH745" s="302" t="s">
        <v>19</v>
      </c>
      <c r="AI745" s="301" t="s">
        <v>154</v>
      </c>
      <c r="AJ745" s="221"/>
      <c r="AK745" s="221"/>
      <c r="AL745" s="221"/>
      <c r="AM745" s="221"/>
      <c r="AN745" s="221"/>
      <c r="AO745" s="221"/>
      <c r="AP745" s="302" t="s">
        <v>19</v>
      </c>
      <c r="AQ745" s="195">
        <f>SUM(AT745,AW745,AZ745,BC745,BF745,BI745,BL745)</f>
        <v>62633.653452593084</v>
      </c>
      <c r="AR745" s="197">
        <f>SUM(AT745,AX745,BA745,BD745,BG745,BJ745,BM745)</f>
        <v>0</v>
      </c>
      <c r="AS745" s="195">
        <f>AQ745-AR745</f>
        <v>62633.653452593084</v>
      </c>
      <c r="AT745" s="315"/>
      <c r="AU745" s="315"/>
      <c r="AV745" s="241"/>
      <c r="AW745" s="198"/>
      <c r="AX745" s="313"/>
      <c r="AY745" s="199">
        <f>AW745-AX745</f>
        <v>0</v>
      </c>
      <c r="AZ745" s="173">
        <f>4384.70835271073-AZ744</f>
        <v>730.78472545178829</v>
      </c>
      <c r="BA745" s="313"/>
      <c r="BB745" s="199">
        <f>AZ745-BA745</f>
        <v>730.78472545178829</v>
      </c>
      <c r="BC745" s="198">
        <f>371417.212362848-BC744</f>
        <v>61902.868727141293</v>
      </c>
      <c r="BD745" s="313"/>
      <c r="BE745" s="199">
        <f>BC745-BD745</f>
        <v>61902.868727141293</v>
      </c>
      <c r="BF745" s="198"/>
      <c r="BG745" s="241"/>
      <c r="BH745" s="199">
        <f>BF745-BG745</f>
        <v>0</v>
      </c>
      <c r="BI745" s="198"/>
      <c r="BJ745" s="241"/>
      <c r="BK745" s="199">
        <f>BI745-BJ745</f>
        <v>0</v>
      </c>
      <c r="BL745" s="313"/>
      <c r="BM745" s="313"/>
      <c r="BN745" s="195">
        <f>BL745-BM745</f>
        <v>0</v>
      </c>
      <c r="BO745" s="251">
        <v>0</v>
      </c>
      <c r="BP745" s="364"/>
      <c r="BQ745" s="364"/>
      <c r="BR745" s="364"/>
      <c r="BS745" s="249" t="str">
        <f>AG745 &amp; BO745</f>
        <v>Прочие привлеченные средства0</v>
      </c>
      <c r="BT745" s="364"/>
      <c r="BU745" s="364"/>
      <c r="BV745" s="364"/>
      <c r="BW745" s="364"/>
      <c r="BX745" s="364"/>
      <c r="BY745" s="249" t="str">
        <f>AG745&amp;AH745</f>
        <v>Прочие привлеченные средстванет</v>
      </c>
      <c r="BZ745" s="250"/>
    </row>
    <row r="746" spans="3:78" ht="15" customHeight="1">
      <c r="C746" s="306"/>
      <c r="D746" s="367"/>
      <c r="E746" s="370"/>
      <c r="F746" s="373"/>
      <c r="G746" s="376"/>
      <c r="H746" s="379"/>
      <c r="I746" s="382"/>
      <c r="J746" s="382"/>
      <c r="K746" s="385"/>
      <c r="L746" s="388"/>
      <c r="M746" s="391"/>
      <c r="N746" s="395"/>
      <c r="O746" s="398"/>
      <c r="P746" s="401"/>
      <c r="Q746" s="404"/>
      <c r="R746" s="363"/>
      <c r="S746" s="363"/>
      <c r="T746" s="363"/>
      <c r="U746" s="363"/>
      <c r="V746" s="363"/>
      <c r="W746" s="363"/>
      <c r="X746" s="363"/>
      <c r="Y746" s="363"/>
      <c r="Z746" s="363"/>
      <c r="AA746" s="363"/>
      <c r="AB746" s="363"/>
      <c r="AC746" s="363"/>
      <c r="AD746" s="363"/>
      <c r="AE746" s="279" t="s">
        <v>379</v>
      </c>
      <c r="AF746" s="203"/>
      <c r="AG746" s="223" t="s">
        <v>24</v>
      </c>
      <c r="AH746" s="223"/>
      <c r="AI746" s="223"/>
      <c r="AJ746" s="223"/>
      <c r="AK746" s="223"/>
      <c r="AL746" s="223"/>
      <c r="AM746" s="223"/>
      <c r="AN746" s="223"/>
      <c r="AO746" s="223"/>
      <c r="AP746" s="168"/>
      <c r="AQ746" s="169"/>
      <c r="AR746" s="169"/>
      <c r="AS746" s="169"/>
      <c r="AT746" s="169"/>
      <c r="AU746" s="169"/>
      <c r="AV746" s="169"/>
      <c r="AW746" s="169"/>
      <c r="AX746" s="169"/>
      <c r="AY746" s="169"/>
      <c r="AZ746" s="169"/>
      <c r="BA746" s="169"/>
      <c r="BB746" s="169"/>
      <c r="BC746" s="169"/>
      <c r="BD746" s="169"/>
      <c r="BE746" s="169"/>
      <c r="BF746" s="169"/>
      <c r="BG746" s="169"/>
      <c r="BH746" s="169"/>
      <c r="BI746" s="169"/>
      <c r="BJ746" s="169"/>
      <c r="BK746" s="169"/>
      <c r="BL746" s="169"/>
      <c r="BM746" s="169"/>
      <c r="BN746" s="170"/>
      <c r="BO746" s="251"/>
      <c r="BP746" s="364"/>
      <c r="BQ746" s="364"/>
      <c r="BR746" s="364"/>
      <c r="BS746" s="250"/>
      <c r="BT746" s="364"/>
      <c r="BU746" s="364"/>
      <c r="BV746" s="364"/>
      <c r="BW746" s="364"/>
      <c r="BX746" s="364"/>
      <c r="BY746" s="250"/>
    </row>
    <row r="747" spans="3:78" ht="15" customHeight="1" thickBot="1">
      <c r="C747" s="307"/>
      <c r="D747" s="368"/>
      <c r="E747" s="371"/>
      <c r="F747" s="374"/>
      <c r="G747" s="377"/>
      <c r="H747" s="380"/>
      <c r="I747" s="383"/>
      <c r="J747" s="383"/>
      <c r="K747" s="386"/>
      <c r="L747" s="389"/>
      <c r="M747" s="392"/>
      <c r="N747" s="280" t="s">
        <v>380</v>
      </c>
      <c r="O747" s="212"/>
      <c r="P747" s="365" t="s">
        <v>154</v>
      </c>
      <c r="Q747" s="365"/>
      <c r="R747" s="171"/>
      <c r="S747" s="171"/>
      <c r="T747" s="166"/>
      <c r="U747" s="166"/>
      <c r="V747" s="166"/>
      <c r="W747" s="166"/>
      <c r="X747" s="166"/>
      <c r="Y747" s="166"/>
      <c r="Z747" s="166"/>
      <c r="AA747" s="166"/>
      <c r="AB747" s="166"/>
      <c r="AC747" s="166"/>
      <c r="AD747" s="166"/>
      <c r="AE747" s="166"/>
      <c r="AF747" s="166"/>
      <c r="AG747" s="166"/>
      <c r="AH747" s="166"/>
      <c r="AI747" s="166"/>
      <c r="AJ747" s="166"/>
      <c r="AK747" s="166"/>
      <c r="AL747" s="166"/>
      <c r="AM747" s="166"/>
      <c r="AN747" s="166"/>
      <c r="AO747" s="166"/>
      <c r="AP747" s="166"/>
      <c r="AQ747" s="166"/>
      <c r="AR747" s="166"/>
      <c r="AS747" s="166"/>
      <c r="AT747" s="166"/>
      <c r="AU747" s="166"/>
      <c r="AV747" s="166"/>
      <c r="AW747" s="166"/>
      <c r="AX747" s="166"/>
      <c r="AY747" s="166"/>
      <c r="AZ747" s="166"/>
      <c r="BA747" s="166"/>
      <c r="BB747" s="166"/>
      <c r="BC747" s="166"/>
      <c r="BD747" s="166"/>
      <c r="BE747" s="166"/>
      <c r="BF747" s="166"/>
      <c r="BG747" s="166"/>
      <c r="BH747" s="166"/>
      <c r="BI747" s="166"/>
      <c r="BJ747" s="166"/>
      <c r="BK747" s="166"/>
      <c r="BL747" s="166"/>
      <c r="BM747" s="166"/>
      <c r="BN747" s="167"/>
      <c r="BO747" s="251"/>
      <c r="BP747" s="250"/>
      <c r="BQ747" s="250"/>
      <c r="BR747" s="250"/>
      <c r="BS747" s="250"/>
      <c r="BT747" s="250"/>
      <c r="BU747" s="250"/>
      <c r="BY747" s="250"/>
    </row>
    <row r="748" spans="3:78" ht="11.25" customHeight="1">
      <c r="C748" s="97" t="s">
        <v>1240</v>
      </c>
      <c r="D748" s="366" t="s">
        <v>1433</v>
      </c>
      <c r="E748" s="369" t="s">
        <v>216</v>
      </c>
      <c r="F748" s="372" t="s">
        <v>154</v>
      </c>
      <c r="G748" s="375" t="s">
        <v>1454</v>
      </c>
      <c r="H748" s="378" t="s">
        <v>715</v>
      </c>
      <c r="I748" s="381" t="s">
        <v>715</v>
      </c>
      <c r="J748" s="381" t="s">
        <v>716</v>
      </c>
      <c r="K748" s="384">
        <v>2</v>
      </c>
      <c r="L748" s="387" t="s">
        <v>5</v>
      </c>
      <c r="M748" s="390">
        <v>0</v>
      </c>
      <c r="N748" s="163"/>
      <c r="O748" s="161"/>
      <c r="P748" s="161"/>
      <c r="Q748" s="161"/>
      <c r="R748" s="161"/>
      <c r="S748" s="161"/>
      <c r="T748" s="161"/>
      <c r="U748" s="161"/>
      <c r="V748" s="161"/>
      <c r="W748" s="161"/>
      <c r="X748" s="161"/>
      <c r="Y748" s="161"/>
      <c r="Z748" s="161"/>
      <c r="AA748" s="161"/>
      <c r="AB748" s="161"/>
      <c r="AC748" s="161"/>
      <c r="AD748" s="161"/>
      <c r="AE748" s="161"/>
      <c r="AF748" s="161"/>
      <c r="AG748" s="161"/>
      <c r="AH748" s="161"/>
      <c r="AI748" s="161"/>
      <c r="AJ748" s="161"/>
      <c r="AK748" s="161"/>
      <c r="AL748" s="161"/>
      <c r="AM748" s="161"/>
      <c r="AN748" s="161"/>
      <c r="AO748" s="161"/>
      <c r="AP748" s="161"/>
      <c r="AQ748" s="161"/>
      <c r="AR748" s="161"/>
      <c r="AS748" s="161"/>
      <c r="AT748" s="161"/>
      <c r="AU748" s="161"/>
      <c r="AV748" s="161"/>
      <c r="AW748" s="161"/>
      <c r="AX748" s="161"/>
      <c r="AY748" s="161"/>
      <c r="AZ748" s="161"/>
      <c r="BA748" s="161"/>
      <c r="BB748" s="161"/>
      <c r="BC748" s="161"/>
      <c r="BD748" s="161"/>
      <c r="BE748" s="161"/>
      <c r="BF748" s="161"/>
      <c r="BG748" s="161"/>
      <c r="BH748" s="161"/>
      <c r="BI748" s="161"/>
      <c r="BJ748" s="161"/>
      <c r="BK748" s="161"/>
      <c r="BL748" s="161"/>
      <c r="BM748" s="161"/>
      <c r="BN748" s="162"/>
      <c r="BO748" s="251"/>
      <c r="BP748" s="250"/>
      <c r="BQ748" s="250"/>
      <c r="BR748" s="250"/>
      <c r="BS748" s="250"/>
      <c r="BT748" s="250"/>
      <c r="BU748" s="250"/>
      <c r="BY748" s="250"/>
    </row>
    <row r="749" spans="3:78" ht="11.25" customHeight="1">
      <c r="C749" s="306"/>
      <c r="D749" s="367"/>
      <c r="E749" s="370"/>
      <c r="F749" s="373"/>
      <c r="G749" s="376"/>
      <c r="H749" s="379"/>
      <c r="I749" s="382"/>
      <c r="J749" s="382"/>
      <c r="K749" s="385"/>
      <c r="L749" s="388"/>
      <c r="M749" s="391"/>
      <c r="N749" s="393"/>
      <c r="O749" s="396">
        <v>1</v>
      </c>
      <c r="P749" s="399" t="s">
        <v>1297</v>
      </c>
      <c r="Q749" s="402"/>
      <c r="R749" s="361" t="s">
        <v>154</v>
      </c>
      <c r="S749" s="361" t="s">
        <v>154</v>
      </c>
      <c r="T749" s="361" t="s">
        <v>154</v>
      </c>
      <c r="U749" s="361" t="s">
        <v>154</v>
      </c>
      <c r="V749" s="361" t="s">
        <v>154</v>
      </c>
      <c r="W749" s="361" t="s">
        <v>154</v>
      </c>
      <c r="X749" s="361" t="s">
        <v>154</v>
      </c>
      <c r="Y749" s="361" t="s">
        <v>154</v>
      </c>
      <c r="Z749" s="361" t="s">
        <v>154</v>
      </c>
      <c r="AA749" s="361" t="s">
        <v>154</v>
      </c>
      <c r="AB749" s="361" t="s">
        <v>154</v>
      </c>
      <c r="AC749" s="361" t="s">
        <v>154</v>
      </c>
      <c r="AD749" s="361" t="s">
        <v>154</v>
      </c>
      <c r="AE749" s="209"/>
      <c r="AF749" s="220">
        <v>0</v>
      </c>
      <c r="AG749" s="219" t="s">
        <v>308</v>
      </c>
      <c r="AH749" s="219"/>
      <c r="AI749" s="219"/>
      <c r="AJ749" s="219"/>
      <c r="AK749" s="219"/>
      <c r="AL749" s="219"/>
      <c r="AM749" s="219"/>
      <c r="AN749" s="219"/>
      <c r="AO749" s="219"/>
      <c r="AP749" s="164"/>
      <c r="AQ749" s="164"/>
      <c r="AR749" s="164"/>
      <c r="AS749" s="164"/>
      <c r="AT749" s="164"/>
      <c r="AU749" s="164"/>
      <c r="AV749" s="164"/>
      <c r="AW749" s="164"/>
      <c r="AX749" s="164"/>
      <c r="AY749" s="164"/>
      <c r="AZ749" s="164"/>
      <c r="BA749" s="164"/>
      <c r="BB749" s="164"/>
      <c r="BC749" s="164"/>
      <c r="BD749" s="164"/>
      <c r="BE749" s="164"/>
      <c r="BF749" s="164"/>
      <c r="BG749" s="164"/>
      <c r="BH749" s="164"/>
      <c r="BI749" s="164"/>
      <c r="BJ749" s="164"/>
      <c r="BK749" s="164"/>
      <c r="BL749" s="164"/>
      <c r="BM749" s="164"/>
      <c r="BN749" s="165"/>
      <c r="BO749" s="251"/>
      <c r="BP749" s="364" t="s">
        <v>1298</v>
      </c>
      <c r="BQ749" s="364" t="s">
        <v>1298</v>
      </c>
      <c r="BR749" s="364" t="s">
        <v>1298</v>
      </c>
      <c r="BS749" s="250"/>
      <c r="BT749" s="364" t="s">
        <v>1298</v>
      </c>
      <c r="BU749" s="364" t="s">
        <v>1298</v>
      </c>
      <c r="BV749" s="364" t="s">
        <v>1298</v>
      </c>
      <c r="BW749" s="364" t="s">
        <v>1298</v>
      </c>
      <c r="BX749" s="364" t="s">
        <v>1298</v>
      </c>
      <c r="BY749" s="250"/>
    </row>
    <row r="750" spans="3:78" ht="14.25">
      <c r="C750" s="306"/>
      <c r="D750" s="367"/>
      <c r="E750" s="370"/>
      <c r="F750" s="373"/>
      <c r="G750" s="376"/>
      <c r="H750" s="379"/>
      <c r="I750" s="382"/>
      <c r="J750" s="382"/>
      <c r="K750" s="385"/>
      <c r="L750" s="388"/>
      <c r="M750" s="391"/>
      <c r="N750" s="394"/>
      <c r="O750" s="397"/>
      <c r="P750" s="400"/>
      <c r="Q750" s="403"/>
      <c r="R750" s="362"/>
      <c r="S750" s="362"/>
      <c r="T750" s="362"/>
      <c r="U750" s="362"/>
      <c r="V750" s="362"/>
      <c r="W750" s="362"/>
      <c r="X750" s="362"/>
      <c r="Y750" s="362"/>
      <c r="Z750" s="362"/>
      <c r="AA750" s="362"/>
      <c r="AB750" s="362"/>
      <c r="AC750" s="362"/>
      <c r="AD750" s="362"/>
      <c r="AE750" s="193"/>
      <c r="AF750" s="217" t="s">
        <v>268</v>
      </c>
      <c r="AG750" s="158" t="s">
        <v>226</v>
      </c>
      <c r="AH750" s="300" t="s">
        <v>19</v>
      </c>
      <c r="AI750" s="301" t="s">
        <v>154</v>
      </c>
      <c r="AJ750" s="221"/>
      <c r="AK750" s="221"/>
      <c r="AL750" s="221"/>
      <c r="AM750" s="221"/>
      <c r="AN750" s="221"/>
      <c r="AO750" s="221"/>
      <c r="AP750" s="302" t="s">
        <v>19</v>
      </c>
      <c r="AQ750" s="195">
        <f>SUM(AT750,AW750,AZ750,BC750,BF750,BI750,BL750)</f>
        <v>342919.91823385807</v>
      </c>
      <c r="AR750" s="197">
        <f>SUM(AT750,AX750,BA750,BD750,BG750,BJ750,BM750)</f>
        <v>0</v>
      </c>
      <c r="AS750" s="195">
        <f>AQ750-AR750</f>
        <v>342919.91823385807</v>
      </c>
      <c r="AT750" s="312"/>
      <c r="AU750" s="312"/>
      <c r="AV750" s="244"/>
      <c r="AW750" s="159"/>
      <c r="AX750" s="312"/>
      <c r="AY750" s="194">
        <f>AW750-AX750</f>
        <v>0</v>
      </c>
      <c r="AZ750" s="160">
        <v>10590.923694648005</v>
      </c>
      <c r="BA750" s="312"/>
      <c r="BB750" s="194">
        <f>AZ750-BA750</f>
        <v>10590.923694648005</v>
      </c>
      <c r="BC750" s="159">
        <v>332328.99453921005</v>
      </c>
      <c r="BD750" s="312"/>
      <c r="BE750" s="194">
        <f>BC750-BD750</f>
        <v>332328.99453921005</v>
      </c>
      <c r="BF750" s="159"/>
      <c r="BG750" s="244"/>
      <c r="BH750" s="194">
        <f>BF750-BG750</f>
        <v>0</v>
      </c>
      <c r="BI750" s="159"/>
      <c r="BJ750" s="244"/>
      <c r="BK750" s="194">
        <f>BI750-BJ750</f>
        <v>0</v>
      </c>
      <c r="BL750" s="312"/>
      <c r="BM750" s="312"/>
      <c r="BN750" s="195">
        <f>BL750-BM750</f>
        <v>0</v>
      </c>
      <c r="BO750" s="251">
        <v>0</v>
      </c>
      <c r="BP750" s="364"/>
      <c r="BQ750" s="364"/>
      <c r="BR750" s="364"/>
      <c r="BS750" s="249" t="str">
        <f>AG750 &amp; BO750</f>
        <v>Кредиты0</v>
      </c>
      <c r="BT750" s="364"/>
      <c r="BU750" s="364"/>
      <c r="BV750" s="364"/>
      <c r="BW750" s="364"/>
      <c r="BX750" s="364"/>
      <c r="BY750" s="249" t="str">
        <f>AG750&amp;AH750</f>
        <v>Кредитынет</v>
      </c>
      <c r="BZ750" s="250"/>
    </row>
    <row r="751" spans="3:78" ht="14.25">
      <c r="C751" s="97"/>
      <c r="D751" s="367"/>
      <c r="E751" s="370"/>
      <c r="F751" s="373"/>
      <c r="G751" s="376"/>
      <c r="H751" s="379"/>
      <c r="I751" s="382"/>
      <c r="J751" s="382"/>
      <c r="K751" s="385"/>
      <c r="L751" s="388"/>
      <c r="M751" s="391"/>
      <c r="N751" s="394"/>
      <c r="O751" s="397"/>
      <c r="P751" s="400"/>
      <c r="Q751" s="403"/>
      <c r="R751" s="362"/>
      <c r="S751" s="362"/>
      <c r="T751" s="362"/>
      <c r="U751" s="362"/>
      <c r="V751" s="362"/>
      <c r="W751" s="362"/>
      <c r="X751" s="362"/>
      <c r="Y751" s="362"/>
      <c r="Z751" s="362"/>
      <c r="AA751" s="362"/>
      <c r="AB751" s="362"/>
      <c r="AC751" s="362"/>
      <c r="AD751" s="362"/>
      <c r="AE751" s="322" t="s">
        <v>1240</v>
      </c>
      <c r="AF751" s="217" t="s">
        <v>118</v>
      </c>
      <c r="AG751" s="196" t="s">
        <v>230</v>
      </c>
      <c r="AH751" s="302" t="s">
        <v>19</v>
      </c>
      <c r="AI751" s="301" t="s">
        <v>154</v>
      </c>
      <c r="AJ751" s="221"/>
      <c r="AK751" s="221"/>
      <c r="AL751" s="221"/>
      <c r="AM751" s="221"/>
      <c r="AN751" s="221"/>
      <c r="AO751" s="221"/>
      <c r="AP751" s="302" t="s">
        <v>19</v>
      </c>
      <c r="AQ751" s="195">
        <f>SUM(AT751,AW751,AZ751,BC751,BF751,BI751,BL751)</f>
        <v>68583.98364677155</v>
      </c>
      <c r="AR751" s="197">
        <f>SUM(AT751,AX751,BA751,BD751,BG751,BJ751,BM751)</f>
        <v>0</v>
      </c>
      <c r="AS751" s="195">
        <f>AQ751-AR751</f>
        <v>68583.98364677155</v>
      </c>
      <c r="AT751" s="315"/>
      <c r="AU751" s="315"/>
      <c r="AV751" s="241"/>
      <c r="AW751" s="198"/>
      <c r="AX751" s="313"/>
      <c r="AY751" s="199">
        <f>AW751-AX751</f>
        <v>0</v>
      </c>
      <c r="AZ751" s="173">
        <f>12709.1084335776-AZ750</f>
        <v>2118.1847389295945</v>
      </c>
      <c r="BA751" s="313"/>
      <c r="BB751" s="199">
        <f>AZ751-BA751</f>
        <v>2118.1847389295945</v>
      </c>
      <c r="BC751" s="198">
        <f>398794.793447052-BC750</f>
        <v>66465.798907841963</v>
      </c>
      <c r="BD751" s="313"/>
      <c r="BE751" s="199">
        <f>BC751-BD751</f>
        <v>66465.798907841963</v>
      </c>
      <c r="BF751" s="198"/>
      <c r="BG751" s="241"/>
      <c r="BH751" s="199">
        <f>BF751-BG751</f>
        <v>0</v>
      </c>
      <c r="BI751" s="198"/>
      <c r="BJ751" s="241"/>
      <c r="BK751" s="199">
        <f>BI751-BJ751</f>
        <v>0</v>
      </c>
      <c r="BL751" s="313"/>
      <c r="BM751" s="313"/>
      <c r="BN751" s="195">
        <f>BL751-BM751</f>
        <v>0</v>
      </c>
      <c r="BO751" s="251">
        <v>0</v>
      </c>
      <c r="BP751" s="364"/>
      <c r="BQ751" s="364"/>
      <c r="BR751" s="364"/>
      <c r="BS751" s="249" t="str">
        <f>AG751 &amp; BO751</f>
        <v>Прочие привлеченные средства0</v>
      </c>
      <c r="BT751" s="364"/>
      <c r="BU751" s="364"/>
      <c r="BV751" s="364"/>
      <c r="BW751" s="364"/>
      <c r="BX751" s="364"/>
      <c r="BY751" s="249" t="str">
        <f>AG751&amp;AH751</f>
        <v>Прочие привлеченные средстванет</v>
      </c>
      <c r="BZ751" s="250"/>
    </row>
    <row r="752" spans="3:78" ht="15" customHeight="1">
      <c r="C752" s="306"/>
      <c r="D752" s="367"/>
      <c r="E752" s="370"/>
      <c r="F752" s="373"/>
      <c r="G752" s="376"/>
      <c r="H752" s="379"/>
      <c r="I752" s="382"/>
      <c r="J752" s="382"/>
      <c r="K752" s="385"/>
      <c r="L752" s="388"/>
      <c r="M752" s="391"/>
      <c r="N752" s="395"/>
      <c r="O752" s="398"/>
      <c r="P752" s="401"/>
      <c r="Q752" s="404"/>
      <c r="R752" s="363"/>
      <c r="S752" s="363"/>
      <c r="T752" s="363"/>
      <c r="U752" s="363"/>
      <c r="V752" s="363"/>
      <c r="W752" s="363"/>
      <c r="X752" s="363"/>
      <c r="Y752" s="363"/>
      <c r="Z752" s="363"/>
      <c r="AA752" s="363"/>
      <c r="AB752" s="363"/>
      <c r="AC752" s="363"/>
      <c r="AD752" s="363"/>
      <c r="AE752" s="279" t="s">
        <v>379</v>
      </c>
      <c r="AF752" s="203"/>
      <c r="AG752" s="223" t="s">
        <v>24</v>
      </c>
      <c r="AH752" s="223"/>
      <c r="AI752" s="223"/>
      <c r="AJ752" s="223"/>
      <c r="AK752" s="223"/>
      <c r="AL752" s="223"/>
      <c r="AM752" s="223"/>
      <c r="AN752" s="223"/>
      <c r="AO752" s="223"/>
      <c r="AP752" s="168"/>
      <c r="AQ752" s="169"/>
      <c r="AR752" s="169"/>
      <c r="AS752" s="169"/>
      <c r="AT752" s="169"/>
      <c r="AU752" s="169"/>
      <c r="AV752" s="169"/>
      <c r="AW752" s="169"/>
      <c r="AX752" s="169"/>
      <c r="AY752" s="169"/>
      <c r="AZ752" s="169"/>
      <c r="BA752" s="169"/>
      <c r="BB752" s="169"/>
      <c r="BC752" s="169"/>
      <c r="BD752" s="169"/>
      <c r="BE752" s="169"/>
      <c r="BF752" s="169"/>
      <c r="BG752" s="169"/>
      <c r="BH752" s="169"/>
      <c r="BI752" s="169"/>
      <c r="BJ752" s="169"/>
      <c r="BK752" s="169"/>
      <c r="BL752" s="169"/>
      <c r="BM752" s="169"/>
      <c r="BN752" s="170"/>
      <c r="BO752" s="251"/>
      <c r="BP752" s="364"/>
      <c r="BQ752" s="364"/>
      <c r="BR752" s="364"/>
      <c r="BS752" s="250"/>
      <c r="BT752" s="364"/>
      <c r="BU752" s="364"/>
      <c r="BV752" s="364"/>
      <c r="BW752" s="364"/>
      <c r="BX752" s="364"/>
      <c r="BY752" s="250"/>
    </row>
    <row r="753" spans="3:78" ht="15" customHeight="1" thickBot="1">
      <c r="C753" s="307"/>
      <c r="D753" s="368"/>
      <c r="E753" s="371"/>
      <c r="F753" s="374"/>
      <c r="G753" s="377"/>
      <c r="H753" s="380"/>
      <c r="I753" s="383"/>
      <c r="J753" s="383"/>
      <c r="K753" s="386"/>
      <c r="L753" s="389"/>
      <c r="M753" s="392"/>
      <c r="N753" s="280" t="s">
        <v>380</v>
      </c>
      <c r="O753" s="212"/>
      <c r="P753" s="365" t="s">
        <v>154</v>
      </c>
      <c r="Q753" s="365"/>
      <c r="R753" s="171"/>
      <c r="S753" s="171"/>
      <c r="T753" s="166"/>
      <c r="U753" s="166"/>
      <c r="V753" s="166"/>
      <c r="W753" s="166"/>
      <c r="X753" s="166"/>
      <c r="Y753" s="166"/>
      <c r="Z753" s="166"/>
      <c r="AA753" s="166"/>
      <c r="AB753" s="166"/>
      <c r="AC753" s="166"/>
      <c r="AD753" s="166"/>
      <c r="AE753" s="166"/>
      <c r="AF753" s="166"/>
      <c r="AG753" s="166"/>
      <c r="AH753" s="166"/>
      <c r="AI753" s="166"/>
      <c r="AJ753" s="166"/>
      <c r="AK753" s="166"/>
      <c r="AL753" s="166"/>
      <c r="AM753" s="166"/>
      <c r="AN753" s="166"/>
      <c r="AO753" s="166"/>
      <c r="AP753" s="166"/>
      <c r="AQ753" s="166"/>
      <c r="AR753" s="166"/>
      <c r="AS753" s="166"/>
      <c r="AT753" s="166"/>
      <c r="AU753" s="166"/>
      <c r="AV753" s="166"/>
      <c r="AW753" s="166"/>
      <c r="AX753" s="166"/>
      <c r="AY753" s="166"/>
      <c r="AZ753" s="166"/>
      <c r="BA753" s="166"/>
      <c r="BB753" s="166"/>
      <c r="BC753" s="166"/>
      <c r="BD753" s="166"/>
      <c r="BE753" s="166"/>
      <c r="BF753" s="166"/>
      <c r="BG753" s="166"/>
      <c r="BH753" s="166"/>
      <c r="BI753" s="166"/>
      <c r="BJ753" s="166"/>
      <c r="BK753" s="166"/>
      <c r="BL753" s="166"/>
      <c r="BM753" s="166"/>
      <c r="BN753" s="167"/>
      <c r="BO753" s="251"/>
      <c r="BP753" s="250"/>
      <c r="BQ753" s="250"/>
      <c r="BR753" s="250"/>
      <c r="BS753" s="250"/>
      <c r="BT753" s="250"/>
      <c r="BU753" s="250"/>
      <c r="BY753" s="250"/>
    </row>
    <row r="754" spans="3:78" ht="11.25" customHeight="1">
      <c r="C754" s="97" t="s">
        <v>1240</v>
      </c>
      <c r="D754" s="366" t="s">
        <v>1434</v>
      </c>
      <c r="E754" s="369" t="s">
        <v>216</v>
      </c>
      <c r="F754" s="372" t="s">
        <v>154</v>
      </c>
      <c r="G754" s="375" t="s">
        <v>1455</v>
      </c>
      <c r="H754" s="378" t="s">
        <v>715</v>
      </c>
      <c r="I754" s="381" t="s">
        <v>715</v>
      </c>
      <c r="J754" s="381" t="s">
        <v>716</v>
      </c>
      <c r="K754" s="384">
        <v>2</v>
      </c>
      <c r="L754" s="387" t="s">
        <v>4</v>
      </c>
      <c r="M754" s="390">
        <v>0</v>
      </c>
      <c r="N754" s="163"/>
      <c r="O754" s="161"/>
      <c r="P754" s="161"/>
      <c r="Q754" s="161"/>
      <c r="R754" s="161"/>
      <c r="S754" s="161"/>
      <c r="T754" s="161"/>
      <c r="U754" s="161"/>
      <c r="V754" s="161"/>
      <c r="W754" s="161"/>
      <c r="X754" s="161"/>
      <c r="Y754" s="161"/>
      <c r="Z754" s="161"/>
      <c r="AA754" s="161"/>
      <c r="AB754" s="161"/>
      <c r="AC754" s="161"/>
      <c r="AD754" s="161"/>
      <c r="AE754" s="161"/>
      <c r="AF754" s="161"/>
      <c r="AG754" s="161"/>
      <c r="AH754" s="161"/>
      <c r="AI754" s="161"/>
      <c r="AJ754" s="161"/>
      <c r="AK754" s="161"/>
      <c r="AL754" s="161"/>
      <c r="AM754" s="161"/>
      <c r="AN754" s="161"/>
      <c r="AO754" s="161"/>
      <c r="AP754" s="161"/>
      <c r="AQ754" s="161"/>
      <c r="AR754" s="161"/>
      <c r="AS754" s="161"/>
      <c r="AT754" s="161"/>
      <c r="AU754" s="161"/>
      <c r="AV754" s="161"/>
      <c r="AW754" s="161"/>
      <c r="AX754" s="161"/>
      <c r="AY754" s="161"/>
      <c r="AZ754" s="161"/>
      <c r="BA754" s="161"/>
      <c r="BB754" s="161"/>
      <c r="BC754" s="161"/>
      <c r="BD754" s="161"/>
      <c r="BE754" s="161"/>
      <c r="BF754" s="161"/>
      <c r="BG754" s="161"/>
      <c r="BH754" s="161"/>
      <c r="BI754" s="161"/>
      <c r="BJ754" s="161"/>
      <c r="BK754" s="161"/>
      <c r="BL754" s="161"/>
      <c r="BM754" s="161"/>
      <c r="BN754" s="162"/>
      <c r="BO754" s="251"/>
      <c r="BP754" s="250"/>
      <c r="BQ754" s="250"/>
      <c r="BR754" s="250"/>
      <c r="BS754" s="250"/>
      <c r="BT754" s="250"/>
      <c r="BU754" s="250"/>
      <c r="BY754" s="250"/>
    </row>
    <row r="755" spans="3:78" ht="11.25" customHeight="1">
      <c r="C755" s="306"/>
      <c r="D755" s="367"/>
      <c r="E755" s="370"/>
      <c r="F755" s="373"/>
      <c r="G755" s="376"/>
      <c r="H755" s="379"/>
      <c r="I755" s="382"/>
      <c r="J755" s="382"/>
      <c r="K755" s="385"/>
      <c r="L755" s="388"/>
      <c r="M755" s="391"/>
      <c r="N755" s="393"/>
      <c r="O755" s="396">
        <v>1</v>
      </c>
      <c r="P755" s="399" t="s">
        <v>1297</v>
      </c>
      <c r="Q755" s="402"/>
      <c r="R755" s="361" t="s">
        <v>154</v>
      </c>
      <c r="S755" s="361" t="s">
        <v>154</v>
      </c>
      <c r="T755" s="361" t="s">
        <v>154</v>
      </c>
      <c r="U755" s="361" t="s">
        <v>154</v>
      </c>
      <c r="V755" s="361" t="s">
        <v>154</v>
      </c>
      <c r="W755" s="361" t="s">
        <v>154</v>
      </c>
      <c r="X755" s="361" t="s">
        <v>154</v>
      </c>
      <c r="Y755" s="361" t="s">
        <v>154</v>
      </c>
      <c r="Z755" s="361" t="s">
        <v>154</v>
      </c>
      <c r="AA755" s="361" t="s">
        <v>154</v>
      </c>
      <c r="AB755" s="361" t="s">
        <v>154</v>
      </c>
      <c r="AC755" s="361" t="s">
        <v>154</v>
      </c>
      <c r="AD755" s="361" t="s">
        <v>154</v>
      </c>
      <c r="AE755" s="209"/>
      <c r="AF755" s="220">
        <v>0</v>
      </c>
      <c r="AG755" s="219" t="s">
        <v>308</v>
      </c>
      <c r="AH755" s="219"/>
      <c r="AI755" s="219"/>
      <c r="AJ755" s="219"/>
      <c r="AK755" s="219"/>
      <c r="AL755" s="219"/>
      <c r="AM755" s="219"/>
      <c r="AN755" s="219"/>
      <c r="AO755" s="219"/>
      <c r="AP755" s="164"/>
      <c r="AQ755" s="164"/>
      <c r="AR755" s="164"/>
      <c r="AS755" s="164"/>
      <c r="AT755" s="164"/>
      <c r="AU755" s="164"/>
      <c r="AV755" s="164"/>
      <c r="AW755" s="164"/>
      <c r="AX755" s="164"/>
      <c r="AY755" s="164"/>
      <c r="AZ755" s="164"/>
      <c r="BA755" s="164"/>
      <c r="BB755" s="164"/>
      <c r="BC755" s="164"/>
      <c r="BD755" s="164"/>
      <c r="BE755" s="164"/>
      <c r="BF755" s="164"/>
      <c r="BG755" s="164"/>
      <c r="BH755" s="164"/>
      <c r="BI755" s="164"/>
      <c r="BJ755" s="164"/>
      <c r="BK755" s="164"/>
      <c r="BL755" s="164"/>
      <c r="BM755" s="164"/>
      <c r="BN755" s="165"/>
      <c r="BO755" s="251"/>
      <c r="BP755" s="364" t="s">
        <v>1298</v>
      </c>
      <c r="BQ755" s="364" t="s">
        <v>1298</v>
      </c>
      <c r="BR755" s="364" t="s">
        <v>1298</v>
      </c>
      <c r="BS755" s="250"/>
      <c r="BT755" s="364" t="s">
        <v>1298</v>
      </c>
      <c r="BU755" s="364" t="s">
        <v>1298</v>
      </c>
      <c r="BV755" s="364" t="s">
        <v>1298</v>
      </c>
      <c r="BW755" s="364" t="s">
        <v>1298</v>
      </c>
      <c r="BX755" s="364" t="s">
        <v>1298</v>
      </c>
      <c r="BY755" s="250"/>
    </row>
    <row r="756" spans="3:78" ht="14.25">
      <c r="C756" s="306"/>
      <c r="D756" s="367"/>
      <c r="E756" s="370"/>
      <c r="F756" s="373"/>
      <c r="G756" s="376"/>
      <c r="H756" s="379"/>
      <c r="I756" s="382"/>
      <c r="J756" s="382"/>
      <c r="K756" s="385"/>
      <c r="L756" s="388"/>
      <c r="M756" s="391"/>
      <c r="N756" s="394"/>
      <c r="O756" s="397"/>
      <c r="P756" s="400"/>
      <c r="Q756" s="403"/>
      <c r="R756" s="362"/>
      <c r="S756" s="362"/>
      <c r="T756" s="362"/>
      <c r="U756" s="362"/>
      <c r="V756" s="362"/>
      <c r="W756" s="362"/>
      <c r="X756" s="362"/>
      <c r="Y756" s="362"/>
      <c r="Z756" s="362"/>
      <c r="AA756" s="362"/>
      <c r="AB756" s="362"/>
      <c r="AC756" s="362"/>
      <c r="AD756" s="362"/>
      <c r="AE756" s="193"/>
      <c r="AF756" s="217" t="s">
        <v>268</v>
      </c>
      <c r="AG756" s="158" t="s">
        <v>240</v>
      </c>
      <c r="AH756" s="300" t="s">
        <v>19</v>
      </c>
      <c r="AI756" s="301" t="s">
        <v>154</v>
      </c>
      <c r="AJ756" s="221"/>
      <c r="AK756" s="221"/>
      <c r="AL756" s="221"/>
      <c r="AM756" s="221"/>
      <c r="AN756" s="221"/>
      <c r="AO756" s="221"/>
      <c r="AP756" s="302" t="s">
        <v>19</v>
      </c>
      <c r="AQ756" s="195">
        <f>SUM(AT756,AW756,AZ756,BC756,BF756,BI756,BL756)</f>
        <v>101957.10425187668</v>
      </c>
      <c r="AR756" s="197">
        <f>SUM(AT756,AX756,BA756,BD756,BG756,BJ756,BM756)</f>
        <v>0</v>
      </c>
      <c r="AS756" s="195">
        <f>AQ756-AR756</f>
        <v>101957.10425187668</v>
      </c>
      <c r="AT756" s="312"/>
      <c r="AU756" s="312"/>
      <c r="AV756" s="244"/>
      <c r="AW756" s="159">
        <v>2069.2515846600004</v>
      </c>
      <c r="AX756" s="312"/>
      <c r="AY756" s="194">
        <f>AW756-AX756</f>
        <v>2069.2515846600004</v>
      </c>
      <c r="AZ756" s="160">
        <v>99887.852667216677</v>
      </c>
      <c r="BA756" s="312"/>
      <c r="BB756" s="194">
        <f>AZ756-BA756</f>
        <v>99887.852667216677</v>
      </c>
      <c r="BC756" s="159"/>
      <c r="BD756" s="312"/>
      <c r="BE756" s="194">
        <f>BC756-BD756</f>
        <v>0</v>
      </c>
      <c r="BF756" s="159"/>
      <c r="BG756" s="244"/>
      <c r="BH756" s="194">
        <f>BF756-BG756</f>
        <v>0</v>
      </c>
      <c r="BI756" s="159"/>
      <c r="BJ756" s="244"/>
      <c r="BK756" s="194">
        <f>BI756-BJ756</f>
        <v>0</v>
      </c>
      <c r="BL756" s="312"/>
      <c r="BM756" s="312"/>
      <c r="BN756" s="195">
        <f>BL756-BM756</f>
        <v>0</v>
      </c>
      <c r="BO756" s="251">
        <v>0</v>
      </c>
      <c r="BP756" s="364"/>
      <c r="BQ756" s="364"/>
      <c r="BR756" s="364"/>
      <c r="BS756" s="249" t="str">
        <f>AG756 &amp; BO756</f>
        <v>Прибыль направляемая на инвестиции0</v>
      </c>
      <c r="BT756" s="364"/>
      <c r="BU756" s="364"/>
      <c r="BV756" s="364"/>
      <c r="BW756" s="364"/>
      <c r="BX756" s="364"/>
      <c r="BY756" s="249" t="str">
        <f>AG756&amp;AH756</f>
        <v>Прибыль направляемая на инвестициинет</v>
      </c>
      <c r="BZ756" s="250"/>
    </row>
    <row r="757" spans="3:78" ht="14.25">
      <c r="C757" s="97"/>
      <c r="D757" s="367"/>
      <c r="E757" s="370"/>
      <c r="F757" s="373"/>
      <c r="G757" s="376"/>
      <c r="H757" s="379"/>
      <c r="I757" s="382"/>
      <c r="J757" s="382"/>
      <c r="K757" s="385"/>
      <c r="L757" s="388"/>
      <c r="M757" s="391"/>
      <c r="N757" s="394"/>
      <c r="O757" s="397"/>
      <c r="P757" s="400"/>
      <c r="Q757" s="403"/>
      <c r="R757" s="362"/>
      <c r="S757" s="362"/>
      <c r="T757" s="362"/>
      <c r="U757" s="362"/>
      <c r="V757" s="362"/>
      <c r="W757" s="362"/>
      <c r="X757" s="362"/>
      <c r="Y757" s="362"/>
      <c r="Z757" s="362"/>
      <c r="AA757" s="362"/>
      <c r="AB757" s="362"/>
      <c r="AC757" s="362"/>
      <c r="AD757" s="362"/>
      <c r="AE757" s="322" t="s">
        <v>1240</v>
      </c>
      <c r="AF757" s="217" t="s">
        <v>118</v>
      </c>
      <c r="AG757" s="196" t="s">
        <v>223</v>
      </c>
      <c r="AH757" s="302" t="s">
        <v>19</v>
      </c>
      <c r="AI757" s="301" t="s">
        <v>154</v>
      </c>
      <c r="AJ757" s="221"/>
      <c r="AK757" s="221"/>
      <c r="AL757" s="221"/>
      <c r="AM757" s="221"/>
      <c r="AN757" s="221"/>
      <c r="AO757" s="221"/>
      <c r="AP757" s="302" t="s">
        <v>19</v>
      </c>
      <c r="AQ757" s="195">
        <f>SUM(AT757,AW757,AZ757,BC757,BF757,BI757,BL757)</f>
        <v>20391.420850375329</v>
      </c>
      <c r="AR757" s="197">
        <f>SUM(AT757,AX757,BA757,BD757,BG757,BJ757,BM757)</f>
        <v>0</v>
      </c>
      <c r="AS757" s="195">
        <f>AQ757-AR757</f>
        <v>20391.420850375329</v>
      </c>
      <c r="AT757" s="315"/>
      <c r="AU757" s="315"/>
      <c r="AV757" s="241"/>
      <c r="AW757" s="198">
        <f>2483.101901592-AW756</f>
        <v>413.85031693199971</v>
      </c>
      <c r="AX757" s="313"/>
      <c r="AY757" s="199">
        <f>AW757-AX757</f>
        <v>413.85031693199971</v>
      </c>
      <c r="AZ757" s="173">
        <f>119865.42320066-AZ756</f>
        <v>19977.57053344333</v>
      </c>
      <c r="BA757" s="313"/>
      <c r="BB757" s="199">
        <f>AZ757-BA757</f>
        <v>19977.57053344333</v>
      </c>
      <c r="BC757" s="198"/>
      <c r="BD757" s="313"/>
      <c r="BE757" s="199">
        <f>BC757-BD757</f>
        <v>0</v>
      </c>
      <c r="BF757" s="198"/>
      <c r="BG757" s="241"/>
      <c r="BH757" s="199">
        <f>BF757-BG757</f>
        <v>0</v>
      </c>
      <c r="BI757" s="198"/>
      <c r="BJ757" s="241"/>
      <c r="BK757" s="199">
        <f>BI757-BJ757</f>
        <v>0</v>
      </c>
      <c r="BL757" s="313"/>
      <c r="BM757" s="313"/>
      <c r="BN757" s="195">
        <f>BL757-BM757</f>
        <v>0</v>
      </c>
      <c r="BO757" s="251">
        <v>0</v>
      </c>
      <c r="BP757" s="364"/>
      <c r="BQ757" s="364"/>
      <c r="BR757" s="364"/>
      <c r="BS757" s="249" t="str">
        <f>AG757 &amp; BO757</f>
        <v>Прочие собственные средства0</v>
      </c>
      <c r="BT757" s="364"/>
      <c r="BU757" s="364"/>
      <c r="BV757" s="364"/>
      <c r="BW757" s="364"/>
      <c r="BX757" s="364"/>
      <c r="BY757" s="249" t="str">
        <f>AG757&amp;AH757</f>
        <v>Прочие собственные средстванет</v>
      </c>
      <c r="BZ757" s="250"/>
    </row>
    <row r="758" spans="3:78" ht="15" customHeight="1">
      <c r="C758" s="306"/>
      <c r="D758" s="367"/>
      <c r="E758" s="370"/>
      <c r="F758" s="373"/>
      <c r="G758" s="376"/>
      <c r="H758" s="379"/>
      <c r="I758" s="382"/>
      <c r="J758" s="382"/>
      <c r="K758" s="385"/>
      <c r="L758" s="388"/>
      <c r="M758" s="391"/>
      <c r="N758" s="395"/>
      <c r="O758" s="398"/>
      <c r="P758" s="401"/>
      <c r="Q758" s="404"/>
      <c r="R758" s="363"/>
      <c r="S758" s="363"/>
      <c r="T758" s="363"/>
      <c r="U758" s="363"/>
      <c r="V758" s="363"/>
      <c r="W758" s="363"/>
      <c r="X758" s="363"/>
      <c r="Y758" s="363"/>
      <c r="Z758" s="363"/>
      <c r="AA758" s="363"/>
      <c r="AB758" s="363"/>
      <c r="AC758" s="363"/>
      <c r="AD758" s="363"/>
      <c r="AE758" s="279" t="s">
        <v>379</v>
      </c>
      <c r="AF758" s="203"/>
      <c r="AG758" s="223" t="s">
        <v>24</v>
      </c>
      <c r="AH758" s="223"/>
      <c r="AI758" s="223"/>
      <c r="AJ758" s="223"/>
      <c r="AK758" s="223"/>
      <c r="AL758" s="223"/>
      <c r="AM758" s="223"/>
      <c r="AN758" s="223"/>
      <c r="AO758" s="223"/>
      <c r="AP758" s="168"/>
      <c r="AQ758" s="169"/>
      <c r="AR758" s="169"/>
      <c r="AS758" s="169"/>
      <c r="AT758" s="169"/>
      <c r="AU758" s="169"/>
      <c r="AV758" s="169"/>
      <c r="AW758" s="169"/>
      <c r="AX758" s="169"/>
      <c r="AY758" s="169"/>
      <c r="AZ758" s="169"/>
      <c r="BA758" s="169"/>
      <c r="BB758" s="169"/>
      <c r="BC758" s="169"/>
      <c r="BD758" s="169"/>
      <c r="BE758" s="169"/>
      <c r="BF758" s="169"/>
      <c r="BG758" s="169"/>
      <c r="BH758" s="169"/>
      <c r="BI758" s="169"/>
      <c r="BJ758" s="169"/>
      <c r="BK758" s="169"/>
      <c r="BL758" s="169"/>
      <c r="BM758" s="169"/>
      <c r="BN758" s="170"/>
      <c r="BO758" s="251"/>
      <c r="BP758" s="364"/>
      <c r="BQ758" s="364"/>
      <c r="BR758" s="364"/>
      <c r="BS758" s="250"/>
      <c r="BT758" s="364"/>
      <c r="BU758" s="364"/>
      <c r="BV758" s="364"/>
      <c r="BW758" s="364"/>
      <c r="BX758" s="364"/>
      <c r="BY758" s="250"/>
    </row>
    <row r="759" spans="3:78" ht="15" customHeight="1" thickBot="1">
      <c r="C759" s="307"/>
      <c r="D759" s="368"/>
      <c r="E759" s="371"/>
      <c r="F759" s="374"/>
      <c r="G759" s="377"/>
      <c r="H759" s="380"/>
      <c r="I759" s="383"/>
      <c r="J759" s="383"/>
      <c r="K759" s="386"/>
      <c r="L759" s="389"/>
      <c r="M759" s="392"/>
      <c r="N759" s="280" t="s">
        <v>380</v>
      </c>
      <c r="O759" s="212"/>
      <c r="P759" s="365" t="s">
        <v>154</v>
      </c>
      <c r="Q759" s="365"/>
      <c r="R759" s="171"/>
      <c r="S759" s="171"/>
      <c r="T759" s="166"/>
      <c r="U759" s="166"/>
      <c r="V759" s="166"/>
      <c r="W759" s="166"/>
      <c r="X759" s="166"/>
      <c r="Y759" s="166"/>
      <c r="Z759" s="166"/>
      <c r="AA759" s="166"/>
      <c r="AB759" s="166"/>
      <c r="AC759" s="166"/>
      <c r="AD759" s="166"/>
      <c r="AE759" s="166"/>
      <c r="AF759" s="166"/>
      <c r="AG759" s="166"/>
      <c r="AH759" s="166"/>
      <c r="AI759" s="166"/>
      <c r="AJ759" s="166"/>
      <c r="AK759" s="166"/>
      <c r="AL759" s="166"/>
      <c r="AM759" s="166"/>
      <c r="AN759" s="166"/>
      <c r="AO759" s="166"/>
      <c r="AP759" s="166"/>
      <c r="AQ759" s="166"/>
      <c r="AR759" s="166"/>
      <c r="AS759" s="166"/>
      <c r="AT759" s="166"/>
      <c r="AU759" s="166"/>
      <c r="AV759" s="166"/>
      <c r="AW759" s="166"/>
      <c r="AX759" s="166"/>
      <c r="AY759" s="166"/>
      <c r="AZ759" s="166"/>
      <c r="BA759" s="166"/>
      <c r="BB759" s="166"/>
      <c r="BC759" s="166"/>
      <c r="BD759" s="166"/>
      <c r="BE759" s="166"/>
      <c r="BF759" s="166"/>
      <c r="BG759" s="166"/>
      <c r="BH759" s="166"/>
      <c r="BI759" s="166"/>
      <c r="BJ759" s="166"/>
      <c r="BK759" s="166"/>
      <c r="BL759" s="166"/>
      <c r="BM759" s="166"/>
      <c r="BN759" s="167"/>
      <c r="BO759" s="251"/>
      <c r="BP759" s="250"/>
      <c r="BQ759" s="250"/>
      <c r="BR759" s="250"/>
      <c r="BS759" s="250"/>
      <c r="BT759" s="250"/>
      <c r="BU759" s="250"/>
      <c r="BY759" s="250"/>
    </row>
    <row r="760" spans="3:78" ht="11.25" customHeight="1">
      <c r="C760" s="97" t="s">
        <v>1240</v>
      </c>
      <c r="D760" s="366" t="s">
        <v>1435</v>
      </c>
      <c r="E760" s="369" t="s">
        <v>216</v>
      </c>
      <c r="F760" s="372" t="s">
        <v>154</v>
      </c>
      <c r="G760" s="375" t="s">
        <v>1456</v>
      </c>
      <c r="H760" s="378" t="s">
        <v>715</v>
      </c>
      <c r="I760" s="381" t="s">
        <v>715</v>
      </c>
      <c r="J760" s="381" t="s">
        <v>716</v>
      </c>
      <c r="K760" s="384">
        <v>2</v>
      </c>
      <c r="L760" s="387" t="s">
        <v>4</v>
      </c>
      <c r="M760" s="390">
        <v>0</v>
      </c>
      <c r="N760" s="163"/>
      <c r="O760" s="161"/>
      <c r="P760" s="161"/>
      <c r="Q760" s="161"/>
      <c r="R760" s="161"/>
      <c r="S760" s="161"/>
      <c r="T760" s="161"/>
      <c r="U760" s="161"/>
      <c r="V760" s="161"/>
      <c r="W760" s="161"/>
      <c r="X760" s="161"/>
      <c r="Y760" s="161"/>
      <c r="Z760" s="161"/>
      <c r="AA760" s="161"/>
      <c r="AB760" s="161"/>
      <c r="AC760" s="161"/>
      <c r="AD760" s="161"/>
      <c r="AE760" s="161"/>
      <c r="AF760" s="161"/>
      <c r="AG760" s="161"/>
      <c r="AH760" s="161"/>
      <c r="AI760" s="161"/>
      <c r="AJ760" s="161"/>
      <c r="AK760" s="161"/>
      <c r="AL760" s="161"/>
      <c r="AM760" s="161"/>
      <c r="AN760" s="161"/>
      <c r="AO760" s="161"/>
      <c r="AP760" s="161"/>
      <c r="AQ760" s="161"/>
      <c r="AR760" s="161"/>
      <c r="AS760" s="161"/>
      <c r="AT760" s="161"/>
      <c r="AU760" s="161"/>
      <c r="AV760" s="161"/>
      <c r="AW760" s="161"/>
      <c r="AX760" s="161"/>
      <c r="AY760" s="161"/>
      <c r="AZ760" s="161"/>
      <c r="BA760" s="161"/>
      <c r="BB760" s="161"/>
      <c r="BC760" s="161"/>
      <c r="BD760" s="161"/>
      <c r="BE760" s="161"/>
      <c r="BF760" s="161"/>
      <c r="BG760" s="161"/>
      <c r="BH760" s="161"/>
      <c r="BI760" s="161"/>
      <c r="BJ760" s="161"/>
      <c r="BK760" s="161"/>
      <c r="BL760" s="161"/>
      <c r="BM760" s="161"/>
      <c r="BN760" s="162"/>
      <c r="BO760" s="251"/>
      <c r="BP760" s="250"/>
      <c r="BQ760" s="250"/>
      <c r="BR760" s="250"/>
      <c r="BS760" s="250"/>
      <c r="BT760" s="250"/>
      <c r="BU760" s="250"/>
      <c r="BY760" s="250"/>
    </row>
    <row r="761" spans="3:78" ht="11.25" customHeight="1">
      <c r="C761" s="306"/>
      <c r="D761" s="367"/>
      <c r="E761" s="370"/>
      <c r="F761" s="373"/>
      <c r="G761" s="376"/>
      <c r="H761" s="379"/>
      <c r="I761" s="382"/>
      <c r="J761" s="382"/>
      <c r="K761" s="385"/>
      <c r="L761" s="388"/>
      <c r="M761" s="391"/>
      <c r="N761" s="393"/>
      <c r="O761" s="396">
        <v>1</v>
      </c>
      <c r="P761" s="399" t="s">
        <v>1297</v>
      </c>
      <c r="Q761" s="402"/>
      <c r="R761" s="361" t="s">
        <v>154</v>
      </c>
      <c r="S761" s="361" t="s">
        <v>154</v>
      </c>
      <c r="T761" s="361" t="s">
        <v>154</v>
      </c>
      <c r="U761" s="361" t="s">
        <v>154</v>
      </c>
      <c r="V761" s="361" t="s">
        <v>154</v>
      </c>
      <c r="W761" s="361" t="s">
        <v>154</v>
      </c>
      <c r="X761" s="361" t="s">
        <v>154</v>
      </c>
      <c r="Y761" s="361" t="s">
        <v>154</v>
      </c>
      <c r="Z761" s="361" t="s">
        <v>154</v>
      </c>
      <c r="AA761" s="361" t="s">
        <v>154</v>
      </c>
      <c r="AB761" s="361" t="s">
        <v>154</v>
      </c>
      <c r="AC761" s="361" t="s">
        <v>154</v>
      </c>
      <c r="AD761" s="361" t="s">
        <v>154</v>
      </c>
      <c r="AE761" s="209"/>
      <c r="AF761" s="220">
        <v>0</v>
      </c>
      <c r="AG761" s="219" t="s">
        <v>308</v>
      </c>
      <c r="AH761" s="219"/>
      <c r="AI761" s="219"/>
      <c r="AJ761" s="219"/>
      <c r="AK761" s="219"/>
      <c r="AL761" s="219"/>
      <c r="AM761" s="219"/>
      <c r="AN761" s="219"/>
      <c r="AO761" s="219"/>
      <c r="AP761" s="164"/>
      <c r="AQ761" s="164"/>
      <c r="AR761" s="164"/>
      <c r="AS761" s="164"/>
      <c r="AT761" s="164"/>
      <c r="AU761" s="164"/>
      <c r="AV761" s="164"/>
      <c r="AW761" s="164"/>
      <c r="AX761" s="164"/>
      <c r="AY761" s="164"/>
      <c r="AZ761" s="164"/>
      <c r="BA761" s="164"/>
      <c r="BB761" s="164"/>
      <c r="BC761" s="164"/>
      <c r="BD761" s="164"/>
      <c r="BE761" s="164"/>
      <c r="BF761" s="164"/>
      <c r="BG761" s="164"/>
      <c r="BH761" s="164"/>
      <c r="BI761" s="164"/>
      <c r="BJ761" s="164"/>
      <c r="BK761" s="164"/>
      <c r="BL761" s="164"/>
      <c r="BM761" s="164"/>
      <c r="BN761" s="165"/>
      <c r="BO761" s="251"/>
      <c r="BP761" s="364" t="s">
        <v>1298</v>
      </c>
      <c r="BQ761" s="364" t="s">
        <v>1298</v>
      </c>
      <c r="BR761" s="364" t="s">
        <v>1298</v>
      </c>
      <c r="BS761" s="250"/>
      <c r="BT761" s="364" t="s">
        <v>1298</v>
      </c>
      <c r="BU761" s="364" t="s">
        <v>1298</v>
      </c>
      <c r="BV761" s="364" t="s">
        <v>1298</v>
      </c>
      <c r="BW761" s="364" t="s">
        <v>1298</v>
      </c>
      <c r="BX761" s="364" t="s">
        <v>1298</v>
      </c>
      <c r="BY761" s="250"/>
    </row>
    <row r="762" spans="3:78" ht="14.25">
      <c r="C762" s="306"/>
      <c r="D762" s="367"/>
      <c r="E762" s="370"/>
      <c r="F762" s="373"/>
      <c r="G762" s="376"/>
      <c r="H762" s="379"/>
      <c r="I762" s="382"/>
      <c r="J762" s="382"/>
      <c r="K762" s="385"/>
      <c r="L762" s="388"/>
      <c r="M762" s="391"/>
      <c r="N762" s="394"/>
      <c r="O762" s="397"/>
      <c r="P762" s="400"/>
      <c r="Q762" s="403"/>
      <c r="R762" s="362"/>
      <c r="S762" s="362"/>
      <c r="T762" s="362"/>
      <c r="U762" s="362"/>
      <c r="V762" s="362"/>
      <c r="W762" s="362"/>
      <c r="X762" s="362"/>
      <c r="Y762" s="362"/>
      <c r="Z762" s="362"/>
      <c r="AA762" s="362"/>
      <c r="AB762" s="362"/>
      <c r="AC762" s="362"/>
      <c r="AD762" s="362"/>
      <c r="AE762" s="193"/>
      <c r="AF762" s="217" t="s">
        <v>268</v>
      </c>
      <c r="AG762" s="158" t="s">
        <v>240</v>
      </c>
      <c r="AH762" s="300" t="s">
        <v>19</v>
      </c>
      <c r="AI762" s="301" t="s">
        <v>154</v>
      </c>
      <c r="AJ762" s="221"/>
      <c r="AK762" s="221"/>
      <c r="AL762" s="221"/>
      <c r="AM762" s="221"/>
      <c r="AN762" s="221"/>
      <c r="AO762" s="221"/>
      <c r="AP762" s="302" t="s">
        <v>19</v>
      </c>
      <c r="AQ762" s="195">
        <f>SUM(AT762,AW762,AZ762,BC762,BF762,BI762,BL762)</f>
        <v>2167.40428412045</v>
      </c>
      <c r="AR762" s="197">
        <f>SUM(AT762,AX762,BA762,BD762,BG762,BJ762,BM762)</f>
        <v>0</v>
      </c>
      <c r="AS762" s="195">
        <f>AQ762-AR762</f>
        <v>2167.40428412045</v>
      </c>
      <c r="AT762" s="312"/>
      <c r="AU762" s="312"/>
      <c r="AV762" s="244"/>
      <c r="AW762" s="159">
        <v>2167.40428412045</v>
      </c>
      <c r="AX762" s="312"/>
      <c r="AY762" s="194">
        <f>AW762-AX762</f>
        <v>2167.40428412045</v>
      </c>
      <c r="AZ762" s="160"/>
      <c r="BA762" s="312"/>
      <c r="BB762" s="194">
        <f>AZ762-BA762</f>
        <v>0</v>
      </c>
      <c r="BC762" s="159"/>
      <c r="BD762" s="312"/>
      <c r="BE762" s="194">
        <f>BC762-BD762</f>
        <v>0</v>
      </c>
      <c r="BF762" s="159"/>
      <c r="BG762" s="244"/>
      <c r="BH762" s="194">
        <f>BF762-BG762</f>
        <v>0</v>
      </c>
      <c r="BI762" s="159"/>
      <c r="BJ762" s="244"/>
      <c r="BK762" s="194">
        <f>BI762-BJ762</f>
        <v>0</v>
      </c>
      <c r="BL762" s="312"/>
      <c r="BM762" s="312"/>
      <c r="BN762" s="195">
        <f>BL762-BM762</f>
        <v>0</v>
      </c>
      <c r="BO762" s="251">
        <v>0</v>
      </c>
      <c r="BP762" s="364"/>
      <c r="BQ762" s="364"/>
      <c r="BR762" s="364"/>
      <c r="BS762" s="249" t="str">
        <f>AG762 &amp; BO762</f>
        <v>Прибыль направляемая на инвестиции0</v>
      </c>
      <c r="BT762" s="364"/>
      <c r="BU762" s="364"/>
      <c r="BV762" s="364"/>
      <c r="BW762" s="364"/>
      <c r="BX762" s="364"/>
      <c r="BY762" s="249" t="str">
        <f>AG762&amp;AH762</f>
        <v>Прибыль направляемая на инвестициинет</v>
      </c>
      <c r="BZ762" s="250"/>
    </row>
    <row r="763" spans="3:78" ht="14.25">
      <c r="C763" s="97"/>
      <c r="D763" s="367"/>
      <c r="E763" s="370"/>
      <c r="F763" s="373"/>
      <c r="G763" s="376"/>
      <c r="H763" s="379"/>
      <c r="I763" s="382"/>
      <c r="J763" s="382"/>
      <c r="K763" s="385"/>
      <c r="L763" s="388"/>
      <c r="M763" s="391"/>
      <c r="N763" s="394"/>
      <c r="O763" s="397"/>
      <c r="P763" s="400"/>
      <c r="Q763" s="403"/>
      <c r="R763" s="362"/>
      <c r="S763" s="362"/>
      <c r="T763" s="362"/>
      <c r="U763" s="362"/>
      <c r="V763" s="362"/>
      <c r="W763" s="362"/>
      <c r="X763" s="362"/>
      <c r="Y763" s="362"/>
      <c r="Z763" s="362"/>
      <c r="AA763" s="362"/>
      <c r="AB763" s="362"/>
      <c r="AC763" s="362"/>
      <c r="AD763" s="362"/>
      <c r="AE763" s="322" t="s">
        <v>1240</v>
      </c>
      <c r="AF763" s="217" t="s">
        <v>118</v>
      </c>
      <c r="AG763" s="196" t="s">
        <v>223</v>
      </c>
      <c r="AH763" s="302" t="s">
        <v>19</v>
      </c>
      <c r="AI763" s="301" t="s">
        <v>154</v>
      </c>
      <c r="AJ763" s="221"/>
      <c r="AK763" s="221"/>
      <c r="AL763" s="221"/>
      <c r="AM763" s="221"/>
      <c r="AN763" s="221"/>
      <c r="AO763" s="221"/>
      <c r="AP763" s="302" t="s">
        <v>19</v>
      </c>
      <c r="AQ763" s="195">
        <f>SUM(AT763,AW763,AZ763,BC763,BF763,BI763,BL763)</f>
        <v>433.4808568240901</v>
      </c>
      <c r="AR763" s="197">
        <f>SUM(AT763,AX763,BA763,BD763,BG763,BJ763,BM763)</f>
        <v>0</v>
      </c>
      <c r="AS763" s="195">
        <f>AQ763-AR763</f>
        <v>433.4808568240901</v>
      </c>
      <c r="AT763" s="315"/>
      <c r="AU763" s="315"/>
      <c r="AV763" s="241"/>
      <c r="AW763" s="198">
        <f>2600.88514094454-AW762</f>
        <v>433.4808568240901</v>
      </c>
      <c r="AX763" s="313"/>
      <c r="AY763" s="199">
        <f>AW763-AX763</f>
        <v>433.4808568240901</v>
      </c>
      <c r="AZ763" s="173"/>
      <c r="BA763" s="313"/>
      <c r="BB763" s="199">
        <f>AZ763-BA763</f>
        <v>0</v>
      </c>
      <c r="BC763" s="198"/>
      <c r="BD763" s="313"/>
      <c r="BE763" s="199">
        <f>BC763-BD763</f>
        <v>0</v>
      </c>
      <c r="BF763" s="198"/>
      <c r="BG763" s="241"/>
      <c r="BH763" s="199">
        <f>BF763-BG763</f>
        <v>0</v>
      </c>
      <c r="BI763" s="198"/>
      <c r="BJ763" s="241"/>
      <c r="BK763" s="199">
        <f>BI763-BJ763</f>
        <v>0</v>
      </c>
      <c r="BL763" s="313"/>
      <c r="BM763" s="313"/>
      <c r="BN763" s="195">
        <f>BL763-BM763</f>
        <v>0</v>
      </c>
      <c r="BO763" s="251">
        <v>0</v>
      </c>
      <c r="BP763" s="364"/>
      <c r="BQ763" s="364"/>
      <c r="BR763" s="364"/>
      <c r="BS763" s="249" t="str">
        <f>AG763 &amp; BO763</f>
        <v>Прочие собственные средства0</v>
      </c>
      <c r="BT763" s="364"/>
      <c r="BU763" s="364"/>
      <c r="BV763" s="364"/>
      <c r="BW763" s="364"/>
      <c r="BX763" s="364"/>
      <c r="BY763" s="249" t="str">
        <f>AG763&amp;AH763</f>
        <v>Прочие собственные средстванет</v>
      </c>
      <c r="BZ763" s="250"/>
    </row>
    <row r="764" spans="3:78" ht="14.25">
      <c r="C764" s="97"/>
      <c r="D764" s="367"/>
      <c r="E764" s="370"/>
      <c r="F764" s="373"/>
      <c r="G764" s="376"/>
      <c r="H764" s="379"/>
      <c r="I764" s="382"/>
      <c r="J764" s="382"/>
      <c r="K764" s="385"/>
      <c r="L764" s="388"/>
      <c r="M764" s="391"/>
      <c r="N764" s="394"/>
      <c r="O764" s="397"/>
      <c r="P764" s="400"/>
      <c r="Q764" s="403"/>
      <c r="R764" s="362"/>
      <c r="S764" s="362"/>
      <c r="T764" s="362"/>
      <c r="U764" s="362"/>
      <c r="V764" s="362"/>
      <c r="W764" s="362"/>
      <c r="X764" s="362"/>
      <c r="Y764" s="362"/>
      <c r="Z764" s="362"/>
      <c r="AA764" s="362"/>
      <c r="AB764" s="362"/>
      <c r="AC764" s="362"/>
      <c r="AD764" s="362"/>
      <c r="AE764" s="322" t="s">
        <v>1240</v>
      </c>
      <c r="AF764" s="217" t="s">
        <v>119</v>
      </c>
      <c r="AG764" s="196" t="s">
        <v>226</v>
      </c>
      <c r="AH764" s="302" t="s">
        <v>19</v>
      </c>
      <c r="AI764" s="301" t="s">
        <v>154</v>
      </c>
      <c r="AJ764" s="221"/>
      <c r="AK764" s="221"/>
      <c r="AL764" s="221"/>
      <c r="AM764" s="221"/>
      <c r="AN764" s="221"/>
      <c r="AO764" s="221"/>
      <c r="AP764" s="302" t="s">
        <v>19</v>
      </c>
      <c r="AQ764" s="195">
        <f>SUM(AT764,AW764,AZ764,BC764,BF764,BI764,BL764)</f>
        <v>41180.6813982885</v>
      </c>
      <c r="AR764" s="197">
        <f>SUM(AT764,AX764,BA764,BD764,BG764,BJ764,BM764)</f>
        <v>0</v>
      </c>
      <c r="AS764" s="195">
        <f>AQ764-AR764</f>
        <v>41180.6813982885</v>
      </c>
      <c r="AT764" s="315"/>
      <c r="AU764" s="315"/>
      <c r="AV764" s="241"/>
      <c r="AW764" s="198"/>
      <c r="AX764" s="313"/>
      <c r="AY764" s="199">
        <f>AW764-AX764</f>
        <v>0</v>
      </c>
      <c r="AZ764" s="173">
        <v>41180.6813982885</v>
      </c>
      <c r="BA764" s="313"/>
      <c r="BB764" s="199">
        <f>AZ764-BA764</f>
        <v>41180.6813982885</v>
      </c>
      <c r="BC764" s="198"/>
      <c r="BD764" s="313"/>
      <c r="BE764" s="199">
        <f>BC764-BD764</f>
        <v>0</v>
      </c>
      <c r="BF764" s="198"/>
      <c r="BG764" s="241"/>
      <c r="BH764" s="199">
        <f>BF764-BG764</f>
        <v>0</v>
      </c>
      <c r="BI764" s="198"/>
      <c r="BJ764" s="241"/>
      <c r="BK764" s="199">
        <f>BI764-BJ764</f>
        <v>0</v>
      </c>
      <c r="BL764" s="313"/>
      <c r="BM764" s="313"/>
      <c r="BN764" s="195">
        <f>BL764-BM764</f>
        <v>0</v>
      </c>
      <c r="BO764" s="251">
        <v>0</v>
      </c>
      <c r="BP764" s="364"/>
      <c r="BQ764" s="364"/>
      <c r="BR764" s="364"/>
      <c r="BS764" s="249" t="str">
        <f>AG764 &amp; BO764</f>
        <v>Кредиты0</v>
      </c>
      <c r="BT764" s="364"/>
      <c r="BU764" s="364"/>
      <c r="BV764" s="364"/>
      <c r="BW764" s="364"/>
      <c r="BX764" s="364"/>
      <c r="BY764" s="249" t="str">
        <f>AG764&amp;AH764</f>
        <v>Кредитынет</v>
      </c>
      <c r="BZ764" s="250"/>
    </row>
    <row r="765" spans="3:78" ht="14.25">
      <c r="C765" s="97"/>
      <c r="D765" s="367"/>
      <c r="E765" s="370"/>
      <c r="F765" s="373"/>
      <c r="G765" s="376"/>
      <c r="H765" s="379"/>
      <c r="I765" s="382"/>
      <c r="J765" s="382"/>
      <c r="K765" s="385"/>
      <c r="L765" s="388"/>
      <c r="M765" s="391"/>
      <c r="N765" s="394"/>
      <c r="O765" s="397"/>
      <c r="P765" s="400"/>
      <c r="Q765" s="403"/>
      <c r="R765" s="362"/>
      <c r="S765" s="362"/>
      <c r="T765" s="362"/>
      <c r="U765" s="362"/>
      <c r="V765" s="362"/>
      <c r="W765" s="362"/>
      <c r="X765" s="362"/>
      <c r="Y765" s="362"/>
      <c r="Z765" s="362"/>
      <c r="AA765" s="362"/>
      <c r="AB765" s="362"/>
      <c r="AC765" s="362"/>
      <c r="AD765" s="362"/>
      <c r="AE765" s="322" t="s">
        <v>1240</v>
      </c>
      <c r="AF765" s="217" t="s">
        <v>120</v>
      </c>
      <c r="AG765" s="196" t="s">
        <v>230</v>
      </c>
      <c r="AH765" s="302" t="s">
        <v>19</v>
      </c>
      <c r="AI765" s="301" t="s">
        <v>154</v>
      </c>
      <c r="AJ765" s="221"/>
      <c r="AK765" s="221"/>
      <c r="AL765" s="221"/>
      <c r="AM765" s="221"/>
      <c r="AN765" s="221"/>
      <c r="AO765" s="221"/>
      <c r="AP765" s="302" t="s">
        <v>19</v>
      </c>
      <c r="AQ765" s="195">
        <f>SUM(AT765,AW765,AZ765,BC765,BF765,BI765,BL765)</f>
        <v>8236.1362796577014</v>
      </c>
      <c r="AR765" s="197">
        <f>SUM(AT765,AX765,BA765,BD765,BG765,BJ765,BM765)</f>
        <v>0</v>
      </c>
      <c r="AS765" s="195">
        <f>AQ765-AR765</f>
        <v>8236.1362796577014</v>
      </c>
      <c r="AT765" s="315"/>
      <c r="AU765" s="315"/>
      <c r="AV765" s="241"/>
      <c r="AW765" s="198"/>
      <c r="AX765" s="313"/>
      <c r="AY765" s="199">
        <f>AW765-AX765</f>
        <v>0</v>
      </c>
      <c r="AZ765" s="173">
        <f>49416.8176779462-AZ764</f>
        <v>8236.1362796577014</v>
      </c>
      <c r="BA765" s="313"/>
      <c r="BB765" s="199">
        <f>AZ765-BA765</f>
        <v>8236.1362796577014</v>
      </c>
      <c r="BC765" s="198"/>
      <c r="BD765" s="313"/>
      <c r="BE765" s="199">
        <f>BC765-BD765</f>
        <v>0</v>
      </c>
      <c r="BF765" s="198"/>
      <c r="BG765" s="241"/>
      <c r="BH765" s="199">
        <f>BF765-BG765</f>
        <v>0</v>
      </c>
      <c r="BI765" s="198"/>
      <c r="BJ765" s="241"/>
      <c r="BK765" s="199">
        <f>BI765-BJ765</f>
        <v>0</v>
      </c>
      <c r="BL765" s="313"/>
      <c r="BM765" s="313"/>
      <c r="BN765" s="195">
        <f>BL765-BM765</f>
        <v>0</v>
      </c>
      <c r="BO765" s="251">
        <v>0</v>
      </c>
      <c r="BP765" s="364"/>
      <c r="BQ765" s="364"/>
      <c r="BR765" s="364"/>
      <c r="BS765" s="249" t="str">
        <f>AG765 &amp; BO765</f>
        <v>Прочие привлеченные средства0</v>
      </c>
      <c r="BT765" s="364"/>
      <c r="BU765" s="364"/>
      <c r="BV765" s="364"/>
      <c r="BW765" s="364"/>
      <c r="BX765" s="364"/>
      <c r="BY765" s="249" t="str">
        <f>AG765&amp;AH765</f>
        <v>Прочие привлеченные средстванет</v>
      </c>
      <c r="BZ765" s="250"/>
    </row>
    <row r="766" spans="3:78" ht="15" customHeight="1">
      <c r="C766" s="306"/>
      <c r="D766" s="367"/>
      <c r="E766" s="370"/>
      <c r="F766" s="373"/>
      <c r="G766" s="376"/>
      <c r="H766" s="379"/>
      <c r="I766" s="382"/>
      <c r="J766" s="382"/>
      <c r="K766" s="385"/>
      <c r="L766" s="388"/>
      <c r="M766" s="391"/>
      <c r="N766" s="395"/>
      <c r="O766" s="398"/>
      <c r="P766" s="401"/>
      <c r="Q766" s="404"/>
      <c r="R766" s="363"/>
      <c r="S766" s="363"/>
      <c r="T766" s="363"/>
      <c r="U766" s="363"/>
      <c r="V766" s="363"/>
      <c r="W766" s="363"/>
      <c r="X766" s="363"/>
      <c r="Y766" s="363"/>
      <c r="Z766" s="363"/>
      <c r="AA766" s="363"/>
      <c r="AB766" s="363"/>
      <c r="AC766" s="363"/>
      <c r="AD766" s="363"/>
      <c r="AE766" s="279" t="s">
        <v>379</v>
      </c>
      <c r="AF766" s="203"/>
      <c r="AG766" s="223" t="s">
        <v>24</v>
      </c>
      <c r="AH766" s="223"/>
      <c r="AI766" s="223"/>
      <c r="AJ766" s="223"/>
      <c r="AK766" s="223"/>
      <c r="AL766" s="223"/>
      <c r="AM766" s="223"/>
      <c r="AN766" s="223"/>
      <c r="AO766" s="223"/>
      <c r="AP766" s="168"/>
      <c r="AQ766" s="169"/>
      <c r="AR766" s="169"/>
      <c r="AS766" s="169"/>
      <c r="AT766" s="169"/>
      <c r="AU766" s="169"/>
      <c r="AV766" s="169"/>
      <c r="AW766" s="169"/>
      <c r="AX766" s="169"/>
      <c r="AY766" s="169"/>
      <c r="AZ766" s="169"/>
      <c r="BA766" s="169"/>
      <c r="BB766" s="169"/>
      <c r="BC766" s="169"/>
      <c r="BD766" s="169"/>
      <c r="BE766" s="169"/>
      <c r="BF766" s="169"/>
      <c r="BG766" s="169"/>
      <c r="BH766" s="169"/>
      <c r="BI766" s="169"/>
      <c r="BJ766" s="169"/>
      <c r="BK766" s="169"/>
      <c r="BL766" s="169"/>
      <c r="BM766" s="169"/>
      <c r="BN766" s="170"/>
      <c r="BO766" s="251"/>
      <c r="BP766" s="364"/>
      <c r="BQ766" s="364"/>
      <c r="BR766" s="364"/>
      <c r="BS766" s="250"/>
      <c r="BT766" s="364"/>
      <c r="BU766" s="364"/>
      <c r="BV766" s="364"/>
      <c r="BW766" s="364"/>
      <c r="BX766" s="364"/>
      <c r="BY766" s="250"/>
    </row>
    <row r="767" spans="3:78" ht="15" customHeight="1" thickBot="1">
      <c r="C767" s="307"/>
      <c r="D767" s="368"/>
      <c r="E767" s="371"/>
      <c r="F767" s="374"/>
      <c r="G767" s="377"/>
      <c r="H767" s="380"/>
      <c r="I767" s="383"/>
      <c r="J767" s="383"/>
      <c r="K767" s="386"/>
      <c r="L767" s="389"/>
      <c r="M767" s="392"/>
      <c r="N767" s="280" t="s">
        <v>380</v>
      </c>
      <c r="O767" s="212"/>
      <c r="P767" s="365" t="s">
        <v>154</v>
      </c>
      <c r="Q767" s="365"/>
      <c r="R767" s="171"/>
      <c r="S767" s="171"/>
      <c r="T767" s="166"/>
      <c r="U767" s="166"/>
      <c r="V767" s="166"/>
      <c r="W767" s="166"/>
      <c r="X767" s="166"/>
      <c r="Y767" s="166"/>
      <c r="Z767" s="166"/>
      <c r="AA767" s="166"/>
      <c r="AB767" s="166"/>
      <c r="AC767" s="166"/>
      <c r="AD767" s="166"/>
      <c r="AE767" s="166"/>
      <c r="AF767" s="166"/>
      <c r="AG767" s="166"/>
      <c r="AH767" s="166"/>
      <c r="AI767" s="166"/>
      <c r="AJ767" s="166"/>
      <c r="AK767" s="166"/>
      <c r="AL767" s="166"/>
      <c r="AM767" s="166"/>
      <c r="AN767" s="166"/>
      <c r="AO767" s="166"/>
      <c r="AP767" s="166"/>
      <c r="AQ767" s="166"/>
      <c r="AR767" s="166"/>
      <c r="AS767" s="166"/>
      <c r="AT767" s="166"/>
      <c r="AU767" s="166"/>
      <c r="AV767" s="166"/>
      <c r="AW767" s="166"/>
      <c r="AX767" s="166"/>
      <c r="AY767" s="166"/>
      <c r="AZ767" s="166"/>
      <c r="BA767" s="166"/>
      <c r="BB767" s="166"/>
      <c r="BC767" s="166"/>
      <c r="BD767" s="166"/>
      <c r="BE767" s="166"/>
      <c r="BF767" s="166"/>
      <c r="BG767" s="166"/>
      <c r="BH767" s="166"/>
      <c r="BI767" s="166"/>
      <c r="BJ767" s="166"/>
      <c r="BK767" s="166"/>
      <c r="BL767" s="166"/>
      <c r="BM767" s="166"/>
      <c r="BN767" s="167"/>
      <c r="BO767" s="251"/>
      <c r="BP767" s="250"/>
      <c r="BQ767" s="250"/>
      <c r="BR767" s="250"/>
      <c r="BS767" s="250"/>
      <c r="BT767" s="250"/>
      <c r="BU767" s="250"/>
      <c r="BY767" s="250"/>
    </row>
    <row r="768" spans="3:78" ht="11.25" customHeight="1">
      <c r="C768" s="97" t="s">
        <v>1240</v>
      </c>
      <c r="D768" s="366" t="s">
        <v>1436</v>
      </c>
      <c r="E768" s="369" t="s">
        <v>216</v>
      </c>
      <c r="F768" s="372" t="s">
        <v>154</v>
      </c>
      <c r="G768" s="375" t="s">
        <v>1457</v>
      </c>
      <c r="H768" s="378" t="s">
        <v>715</v>
      </c>
      <c r="I768" s="381" t="s">
        <v>715</v>
      </c>
      <c r="J768" s="381" t="s">
        <v>716</v>
      </c>
      <c r="K768" s="384">
        <v>2</v>
      </c>
      <c r="L768" s="387" t="s">
        <v>4</v>
      </c>
      <c r="M768" s="390">
        <v>0</v>
      </c>
      <c r="N768" s="163"/>
      <c r="O768" s="161"/>
      <c r="P768" s="161"/>
      <c r="Q768" s="161"/>
      <c r="R768" s="161"/>
      <c r="S768" s="161"/>
      <c r="T768" s="161"/>
      <c r="U768" s="161"/>
      <c r="V768" s="161"/>
      <c r="W768" s="161"/>
      <c r="X768" s="161"/>
      <c r="Y768" s="161"/>
      <c r="Z768" s="161"/>
      <c r="AA768" s="161"/>
      <c r="AB768" s="161"/>
      <c r="AC768" s="161"/>
      <c r="AD768" s="161"/>
      <c r="AE768" s="161"/>
      <c r="AF768" s="161"/>
      <c r="AG768" s="161"/>
      <c r="AH768" s="161"/>
      <c r="AI768" s="161"/>
      <c r="AJ768" s="161"/>
      <c r="AK768" s="161"/>
      <c r="AL768" s="161"/>
      <c r="AM768" s="161"/>
      <c r="AN768" s="161"/>
      <c r="AO768" s="161"/>
      <c r="AP768" s="161"/>
      <c r="AQ768" s="161"/>
      <c r="AR768" s="161"/>
      <c r="AS768" s="161"/>
      <c r="AT768" s="161"/>
      <c r="AU768" s="161"/>
      <c r="AV768" s="161"/>
      <c r="AW768" s="161"/>
      <c r="AX768" s="161"/>
      <c r="AY768" s="161"/>
      <c r="AZ768" s="161"/>
      <c r="BA768" s="161"/>
      <c r="BB768" s="161"/>
      <c r="BC768" s="161"/>
      <c r="BD768" s="161"/>
      <c r="BE768" s="161"/>
      <c r="BF768" s="161"/>
      <c r="BG768" s="161"/>
      <c r="BH768" s="161"/>
      <c r="BI768" s="161"/>
      <c r="BJ768" s="161"/>
      <c r="BK768" s="161"/>
      <c r="BL768" s="161"/>
      <c r="BM768" s="161"/>
      <c r="BN768" s="162"/>
      <c r="BO768" s="251"/>
      <c r="BP768" s="250"/>
      <c r="BQ768" s="250"/>
      <c r="BR768" s="250"/>
      <c r="BS768" s="250"/>
      <c r="BT768" s="250"/>
      <c r="BU768" s="250"/>
      <c r="BY768" s="250"/>
    </row>
    <row r="769" spans="3:78" ht="11.25" customHeight="1">
      <c r="C769" s="306"/>
      <c r="D769" s="367"/>
      <c r="E769" s="370"/>
      <c r="F769" s="373"/>
      <c r="G769" s="376"/>
      <c r="H769" s="379"/>
      <c r="I769" s="382"/>
      <c r="J769" s="382"/>
      <c r="K769" s="385"/>
      <c r="L769" s="388"/>
      <c r="M769" s="391"/>
      <c r="N769" s="393"/>
      <c r="O769" s="396">
        <v>1</v>
      </c>
      <c r="P769" s="399" t="s">
        <v>1297</v>
      </c>
      <c r="Q769" s="402"/>
      <c r="R769" s="361" t="s">
        <v>154</v>
      </c>
      <c r="S769" s="361" t="s">
        <v>154</v>
      </c>
      <c r="T769" s="361" t="s">
        <v>154</v>
      </c>
      <c r="U769" s="361" t="s">
        <v>154</v>
      </c>
      <c r="V769" s="361" t="s">
        <v>154</v>
      </c>
      <c r="W769" s="361" t="s">
        <v>154</v>
      </c>
      <c r="X769" s="361" t="s">
        <v>154</v>
      </c>
      <c r="Y769" s="361" t="s">
        <v>154</v>
      </c>
      <c r="Z769" s="361" t="s">
        <v>154</v>
      </c>
      <c r="AA769" s="361" t="s">
        <v>154</v>
      </c>
      <c r="AB769" s="361" t="s">
        <v>154</v>
      </c>
      <c r="AC769" s="361" t="s">
        <v>154</v>
      </c>
      <c r="AD769" s="361" t="s">
        <v>154</v>
      </c>
      <c r="AE769" s="209"/>
      <c r="AF769" s="220">
        <v>0</v>
      </c>
      <c r="AG769" s="219" t="s">
        <v>308</v>
      </c>
      <c r="AH769" s="219"/>
      <c r="AI769" s="219"/>
      <c r="AJ769" s="219"/>
      <c r="AK769" s="219"/>
      <c r="AL769" s="219"/>
      <c r="AM769" s="219"/>
      <c r="AN769" s="219"/>
      <c r="AO769" s="219"/>
      <c r="AP769" s="164"/>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64"/>
      <c r="BM769" s="164"/>
      <c r="BN769" s="165"/>
      <c r="BO769" s="251"/>
      <c r="BP769" s="364" t="s">
        <v>1298</v>
      </c>
      <c r="BQ769" s="364" t="s">
        <v>1298</v>
      </c>
      <c r="BR769" s="364" t="s">
        <v>1298</v>
      </c>
      <c r="BS769" s="250"/>
      <c r="BT769" s="364" t="s">
        <v>1298</v>
      </c>
      <c r="BU769" s="364" t="s">
        <v>1298</v>
      </c>
      <c r="BV769" s="364" t="s">
        <v>1298</v>
      </c>
      <c r="BW769" s="364" t="s">
        <v>1298</v>
      </c>
      <c r="BX769" s="364" t="s">
        <v>1298</v>
      </c>
      <c r="BY769" s="250"/>
    </row>
    <row r="770" spans="3:78" ht="14.25">
      <c r="C770" s="306"/>
      <c r="D770" s="367"/>
      <c r="E770" s="370"/>
      <c r="F770" s="373"/>
      <c r="G770" s="376"/>
      <c r="H770" s="379"/>
      <c r="I770" s="382"/>
      <c r="J770" s="382"/>
      <c r="K770" s="385"/>
      <c r="L770" s="388"/>
      <c r="M770" s="391"/>
      <c r="N770" s="394"/>
      <c r="O770" s="397"/>
      <c r="P770" s="400"/>
      <c r="Q770" s="403"/>
      <c r="R770" s="362"/>
      <c r="S770" s="362"/>
      <c r="T770" s="362"/>
      <c r="U770" s="362"/>
      <c r="V770" s="362"/>
      <c r="W770" s="362"/>
      <c r="X770" s="362"/>
      <c r="Y770" s="362"/>
      <c r="Z770" s="362"/>
      <c r="AA770" s="362"/>
      <c r="AB770" s="362"/>
      <c r="AC770" s="362"/>
      <c r="AD770" s="362"/>
      <c r="AE770" s="193"/>
      <c r="AF770" s="217" t="s">
        <v>268</v>
      </c>
      <c r="AG770" s="158" t="s">
        <v>240</v>
      </c>
      <c r="AH770" s="300" t="s">
        <v>19</v>
      </c>
      <c r="AI770" s="301" t="s">
        <v>154</v>
      </c>
      <c r="AJ770" s="221"/>
      <c r="AK770" s="221"/>
      <c r="AL770" s="221"/>
      <c r="AM770" s="221"/>
      <c r="AN770" s="221"/>
      <c r="AO770" s="221"/>
      <c r="AP770" s="302" t="s">
        <v>19</v>
      </c>
      <c r="AQ770" s="195">
        <f>SUM(AT770,AW770,AZ770,BC770,BF770,BI770,BL770)</f>
        <v>3287.3665700746915</v>
      </c>
      <c r="AR770" s="197">
        <f>SUM(AT770,AX770,BA770,BD770,BG770,BJ770,BM770)</f>
        <v>0</v>
      </c>
      <c r="AS770" s="195">
        <f>AQ770-AR770</f>
        <v>3287.3665700746915</v>
      </c>
      <c r="AT770" s="312"/>
      <c r="AU770" s="312"/>
      <c r="AV770" s="244"/>
      <c r="AW770" s="159">
        <v>3287.3665700746915</v>
      </c>
      <c r="AX770" s="312"/>
      <c r="AY770" s="194">
        <f>AW770-AX770</f>
        <v>3287.3665700746915</v>
      </c>
      <c r="AZ770" s="160"/>
      <c r="BA770" s="312"/>
      <c r="BB770" s="194">
        <f>AZ770-BA770</f>
        <v>0</v>
      </c>
      <c r="BC770" s="159"/>
      <c r="BD770" s="312"/>
      <c r="BE770" s="194">
        <f>BC770-BD770</f>
        <v>0</v>
      </c>
      <c r="BF770" s="159"/>
      <c r="BG770" s="244"/>
      <c r="BH770" s="194">
        <f>BF770-BG770</f>
        <v>0</v>
      </c>
      <c r="BI770" s="159"/>
      <c r="BJ770" s="244"/>
      <c r="BK770" s="194">
        <f>BI770-BJ770</f>
        <v>0</v>
      </c>
      <c r="BL770" s="312"/>
      <c r="BM770" s="312"/>
      <c r="BN770" s="195">
        <f>BL770-BM770</f>
        <v>0</v>
      </c>
      <c r="BO770" s="251">
        <v>0</v>
      </c>
      <c r="BP770" s="364"/>
      <c r="BQ770" s="364"/>
      <c r="BR770" s="364"/>
      <c r="BS770" s="249" t="str">
        <f>AG770 &amp; BO770</f>
        <v>Прибыль направляемая на инвестиции0</v>
      </c>
      <c r="BT770" s="364"/>
      <c r="BU770" s="364"/>
      <c r="BV770" s="364"/>
      <c r="BW770" s="364"/>
      <c r="BX770" s="364"/>
      <c r="BY770" s="249" t="str">
        <f>AG770&amp;AH770</f>
        <v>Прибыль направляемая на инвестициинет</v>
      </c>
      <c r="BZ770" s="250"/>
    </row>
    <row r="771" spans="3:78" ht="14.25">
      <c r="C771" s="97"/>
      <c r="D771" s="367"/>
      <c r="E771" s="370"/>
      <c r="F771" s="373"/>
      <c r="G771" s="376"/>
      <c r="H771" s="379"/>
      <c r="I771" s="382"/>
      <c r="J771" s="382"/>
      <c r="K771" s="385"/>
      <c r="L771" s="388"/>
      <c r="M771" s="391"/>
      <c r="N771" s="394"/>
      <c r="O771" s="397"/>
      <c r="P771" s="400"/>
      <c r="Q771" s="403"/>
      <c r="R771" s="362"/>
      <c r="S771" s="362"/>
      <c r="T771" s="362"/>
      <c r="U771" s="362"/>
      <c r="V771" s="362"/>
      <c r="W771" s="362"/>
      <c r="X771" s="362"/>
      <c r="Y771" s="362"/>
      <c r="Z771" s="362"/>
      <c r="AA771" s="362"/>
      <c r="AB771" s="362"/>
      <c r="AC771" s="362"/>
      <c r="AD771" s="362"/>
      <c r="AE771" s="322" t="s">
        <v>1240</v>
      </c>
      <c r="AF771" s="217" t="s">
        <v>118</v>
      </c>
      <c r="AG771" s="196" t="s">
        <v>223</v>
      </c>
      <c r="AH771" s="302" t="s">
        <v>19</v>
      </c>
      <c r="AI771" s="301" t="s">
        <v>154</v>
      </c>
      <c r="AJ771" s="221"/>
      <c r="AK771" s="221"/>
      <c r="AL771" s="221"/>
      <c r="AM771" s="221"/>
      <c r="AN771" s="221"/>
      <c r="AO771" s="221"/>
      <c r="AP771" s="302" t="s">
        <v>19</v>
      </c>
      <c r="AQ771" s="195">
        <f>SUM(AT771,AW771,AZ771,BC771,BF771,BI771,BL771)</f>
        <v>657.4733140149383</v>
      </c>
      <c r="AR771" s="197">
        <f>SUM(AT771,AX771,BA771,BD771,BG771,BJ771,BM771)</f>
        <v>0</v>
      </c>
      <c r="AS771" s="195">
        <f>AQ771-AR771</f>
        <v>657.4733140149383</v>
      </c>
      <c r="AT771" s="315"/>
      <c r="AU771" s="315"/>
      <c r="AV771" s="241"/>
      <c r="AW771" s="198">
        <f>3944.83988408963-AW770</f>
        <v>657.4733140149383</v>
      </c>
      <c r="AX771" s="313"/>
      <c r="AY771" s="199">
        <f>AW771-AX771</f>
        <v>657.4733140149383</v>
      </c>
      <c r="AZ771" s="173"/>
      <c r="BA771" s="313"/>
      <c r="BB771" s="199">
        <f>AZ771-BA771</f>
        <v>0</v>
      </c>
      <c r="BC771" s="198"/>
      <c r="BD771" s="313"/>
      <c r="BE771" s="199">
        <f>BC771-BD771</f>
        <v>0</v>
      </c>
      <c r="BF771" s="198"/>
      <c r="BG771" s="241"/>
      <c r="BH771" s="199">
        <f>BF771-BG771</f>
        <v>0</v>
      </c>
      <c r="BI771" s="198"/>
      <c r="BJ771" s="241"/>
      <c r="BK771" s="199">
        <f>BI771-BJ771</f>
        <v>0</v>
      </c>
      <c r="BL771" s="313"/>
      <c r="BM771" s="313"/>
      <c r="BN771" s="195">
        <f>BL771-BM771</f>
        <v>0</v>
      </c>
      <c r="BO771" s="251">
        <v>0</v>
      </c>
      <c r="BP771" s="364"/>
      <c r="BQ771" s="364"/>
      <c r="BR771" s="364"/>
      <c r="BS771" s="249" t="str">
        <f>AG771 &amp; BO771</f>
        <v>Прочие собственные средства0</v>
      </c>
      <c r="BT771" s="364"/>
      <c r="BU771" s="364"/>
      <c r="BV771" s="364"/>
      <c r="BW771" s="364"/>
      <c r="BX771" s="364"/>
      <c r="BY771" s="249" t="str">
        <f>AG771&amp;AH771</f>
        <v>Прочие собственные средстванет</v>
      </c>
      <c r="BZ771" s="250"/>
    </row>
    <row r="772" spans="3:78" ht="14.25">
      <c r="C772" s="97"/>
      <c r="D772" s="367"/>
      <c r="E772" s="370"/>
      <c r="F772" s="373"/>
      <c r="G772" s="376"/>
      <c r="H772" s="379"/>
      <c r="I772" s="382"/>
      <c r="J772" s="382"/>
      <c r="K772" s="385"/>
      <c r="L772" s="388"/>
      <c r="M772" s="391"/>
      <c r="N772" s="394"/>
      <c r="O772" s="397"/>
      <c r="P772" s="400"/>
      <c r="Q772" s="403"/>
      <c r="R772" s="362"/>
      <c r="S772" s="362"/>
      <c r="T772" s="362"/>
      <c r="U772" s="362"/>
      <c r="V772" s="362"/>
      <c r="W772" s="362"/>
      <c r="X772" s="362"/>
      <c r="Y772" s="362"/>
      <c r="Z772" s="362"/>
      <c r="AA772" s="362"/>
      <c r="AB772" s="362"/>
      <c r="AC772" s="362"/>
      <c r="AD772" s="362"/>
      <c r="AE772" s="322" t="s">
        <v>1240</v>
      </c>
      <c r="AF772" s="217" t="s">
        <v>119</v>
      </c>
      <c r="AG772" s="196" t="s">
        <v>226</v>
      </c>
      <c r="AH772" s="302" t="s">
        <v>19</v>
      </c>
      <c r="AI772" s="301" t="s">
        <v>154</v>
      </c>
      <c r="AJ772" s="221"/>
      <c r="AK772" s="221"/>
      <c r="AL772" s="221"/>
      <c r="AM772" s="221"/>
      <c r="AN772" s="221"/>
      <c r="AO772" s="221"/>
      <c r="AP772" s="302" t="s">
        <v>19</v>
      </c>
      <c r="AQ772" s="195">
        <f>SUM(AT772,AW772,AZ772,BC772,BF772,BI772,BL772)</f>
        <v>224055.75703427251</v>
      </c>
      <c r="AR772" s="197">
        <f>SUM(AT772,AX772,BA772,BD772,BG772,BJ772,BM772)</f>
        <v>0</v>
      </c>
      <c r="AS772" s="195">
        <f>AQ772-AR772</f>
        <v>224055.75703427251</v>
      </c>
      <c r="AT772" s="315"/>
      <c r="AU772" s="315"/>
      <c r="AV772" s="241"/>
      <c r="AW772" s="198"/>
      <c r="AX772" s="313"/>
      <c r="AY772" s="199">
        <f>AW772-AX772</f>
        <v>0</v>
      </c>
      <c r="AZ772" s="173">
        <v>224055.75703427251</v>
      </c>
      <c r="BA772" s="313"/>
      <c r="BB772" s="199">
        <f>AZ772-BA772</f>
        <v>224055.75703427251</v>
      </c>
      <c r="BC772" s="198"/>
      <c r="BD772" s="313"/>
      <c r="BE772" s="199">
        <f>BC772-BD772</f>
        <v>0</v>
      </c>
      <c r="BF772" s="198"/>
      <c r="BG772" s="241"/>
      <c r="BH772" s="199">
        <f>BF772-BG772</f>
        <v>0</v>
      </c>
      <c r="BI772" s="198"/>
      <c r="BJ772" s="241"/>
      <c r="BK772" s="199">
        <f>BI772-BJ772</f>
        <v>0</v>
      </c>
      <c r="BL772" s="313"/>
      <c r="BM772" s="313"/>
      <c r="BN772" s="195">
        <f>BL772-BM772</f>
        <v>0</v>
      </c>
      <c r="BO772" s="251">
        <v>0</v>
      </c>
      <c r="BP772" s="364"/>
      <c r="BQ772" s="364"/>
      <c r="BR772" s="364"/>
      <c r="BS772" s="249" t="str">
        <f>AG772 &amp; BO772</f>
        <v>Кредиты0</v>
      </c>
      <c r="BT772" s="364"/>
      <c r="BU772" s="364"/>
      <c r="BV772" s="364"/>
      <c r="BW772" s="364"/>
      <c r="BX772" s="364"/>
      <c r="BY772" s="249" t="str">
        <f>AG772&amp;AH772</f>
        <v>Кредитынет</v>
      </c>
      <c r="BZ772" s="250"/>
    </row>
    <row r="773" spans="3:78" ht="14.25">
      <c r="C773" s="97"/>
      <c r="D773" s="367"/>
      <c r="E773" s="370"/>
      <c r="F773" s="373"/>
      <c r="G773" s="376"/>
      <c r="H773" s="379"/>
      <c r="I773" s="382"/>
      <c r="J773" s="382"/>
      <c r="K773" s="385"/>
      <c r="L773" s="388"/>
      <c r="M773" s="391"/>
      <c r="N773" s="394"/>
      <c r="O773" s="397"/>
      <c r="P773" s="400"/>
      <c r="Q773" s="403"/>
      <c r="R773" s="362"/>
      <c r="S773" s="362"/>
      <c r="T773" s="362"/>
      <c r="U773" s="362"/>
      <c r="V773" s="362"/>
      <c r="W773" s="362"/>
      <c r="X773" s="362"/>
      <c r="Y773" s="362"/>
      <c r="Z773" s="362"/>
      <c r="AA773" s="362"/>
      <c r="AB773" s="362"/>
      <c r="AC773" s="362"/>
      <c r="AD773" s="362"/>
      <c r="AE773" s="322" t="s">
        <v>1240</v>
      </c>
      <c r="AF773" s="217" t="s">
        <v>120</v>
      </c>
      <c r="AG773" s="196" t="s">
        <v>230</v>
      </c>
      <c r="AH773" s="302" t="s">
        <v>19</v>
      </c>
      <c r="AI773" s="301" t="s">
        <v>154</v>
      </c>
      <c r="AJ773" s="221"/>
      <c r="AK773" s="221"/>
      <c r="AL773" s="221"/>
      <c r="AM773" s="221"/>
      <c r="AN773" s="221"/>
      <c r="AO773" s="221"/>
      <c r="AP773" s="302" t="s">
        <v>19</v>
      </c>
      <c r="AQ773" s="195">
        <f>SUM(AT773,AW773,AZ773,BC773,BF773,BI773,BL773)</f>
        <v>44811.151406854478</v>
      </c>
      <c r="AR773" s="197">
        <f>SUM(AT773,AX773,BA773,BD773,BG773,BJ773,BM773)</f>
        <v>0</v>
      </c>
      <c r="AS773" s="195">
        <f>AQ773-AR773</f>
        <v>44811.151406854478</v>
      </c>
      <c r="AT773" s="315"/>
      <c r="AU773" s="315"/>
      <c r="AV773" s="241"/>
      <c r="AW773" s="198"/>
      <c r="AX773" s="313"/>
      <c r="AY773" s="199">
        <f>AW773-AX773</f>
        <v>0</v>
      </c>
      <c r="AZ773" s="173">
        <f>268866.908441127-AZ772</f>
        <v>44811.151406854478</v>
      </c>
      <c r="BA773" s="313"/>
      <c r="BB773" s="199">
        <f>AZ773-BA773</f>
        <v>44811.151406854478</v>
      </c>
      <c r="BC773" s="198"/>
      <c r="BD773" s="313"/>
      <c r="BE773" s="199">
        <f>BC773-BD773</f>
        <v>0</v>
      </c>
      <c r="BF773" s="198"/>
      <c r="BG773" s="241"/>
      <c r="BH773" s="199">
        <f>BF773-BG773</f>
        <v>0</v>
      </c>
      <c r="BI773" s="198"/>
      <c r="BJ773" s="241"/>
      <c r="BK773" s="199">
        <f>BI773-BJ773</f>
        <v>0</v>
      </c>
      <c r="BL773" s="313"/>
      <c r="BM773" s="313"/>
      <c r="BN773" s="195">
        <f>BL773-BM773</f>
        <v>0</v>
      </c>
      <c r="BO773" s="251">
        <v>0</v>
      </c>
      <c r="BP773" s="364"/>
      <c r="BQ773" s="364"/>
      <c r="BR773" s="364"/>
      <c r="BS773" s="249" t="str">
        <f>AG773 &amp; BO773</f>
        <v>Прочие привлеченные средства0</v>
      </c>
      <c r="BT773" s="364"/>
      <c r="BU773" s="364"/>
      <c r="BV773" s="364"/>
      <c r="BW773" s="364"/>
      <c r="BX773" s="364"/>
      <c r="BY773" s="249" t="str">
        <f>AG773&amp;AH773</f>
        <v>Прочие привлеченные средстванет</v>
      </c>
      <c r="BZ773" s="250"/>
    </row>
    <row r="774" spans="3:78" ht="15" customHeight="1">
      <c r="C774" s="306"/>
      <c r="D774" s="367"/>
      <c r="E774" s="370"/>
      <c r="F774" s="373"/>
      <c r="G774" s="376"/>
      <c r="H774" s="379"/>
      <c r="I774" s="382"/>
      <c r="J774" s="382"/>
      <c r="K774" s="385"/>
      <c r="L774" s="388"/>
      <c r="M774" s="391"/>
      <c r="N774" s="395"/>
      <c r="O774" s="398"/>
      <c r="P774" s="401"/>
      <c r="Q774" s="404"/>
      <c r="R774" s="363"/>
      <c r="S774" s="363"/>
      <c r="T774" s="363"/>
      <c r="U774" s="363"/>
      <c r="V774" s="363"/>
      <c r="W774" s="363"/>
      <c r="X774" s="363"/>
      <c r="Y774" s="363"/>
      <c r="Z774" s="363"/>
      <c r="AA774" s="363"/>
      <c r="AB774" s="363"/>
      <c r="AC774" s="363"/>
      <c r="AD774" s="363"/>
      <c r="AE774" s="279" t="s">
        <v>379</v>
      </c>
      <c r="AF774" s="203"/>
      <c r="AG774" s="223" t="s">
        <v>24</v>
      </c>
      <c r="AH774" s="223"/>
      <c r="AI774" s="223"/>
      <c r="AJ774" s="223"/>
      <c r="AK774" s="223"/>
      <c r="AL774" s="223"/>
      <c r="AM774" s="223"/>
      <c r="AN774" s="223"/>
      <c r="AO774" s="223"/>
      <c r="AP774" s="168"/>
      <c r="AQ774" s="169"/>
      <c r="AR774" s="169"/>
      <c r="AS774" s="169"/>
      <c r="AT774" s="169"/>
      <c r="AU774" s="169"/>
      <c r="AV774" s="169"/>
      <c r="AW774" s="169"/>
      <c r="AX774" s="169"/>
      <c r="AY774" s="169"/>
      <c r="AZ774" s="169"/>
      <c r="BA774" s="169"/>
      <c r="BB774" s="169"/>
      <c r="BC774" s="169"/>
      <c r="BD774" s="169"/>
      <c r="BE774" s="169"/>
      <c r="BF774" s="169"/>
      <c r="BG774" s="169"/>
      <c r="BH774" s="169"/>
      <c r="BI774" s="169"/>
      <c r="BJ774" s="169"/>
      <c r="BK774" s="169"/>
      <c r="BL774" s="169"/>
      <c r="BM774" s="169"/>
      <c r="BN774" s="170"/>
      <c r="BO774" s="251"/>
      <c r="BP774" s="364"/>
      <c r="BQ774" s="364"/>
      <c r="BR774" s="364"/>
      <c r="BS774" s="250"/>
      <c r="BT774" s="364"/>
      <c r="BU774" s="364"/>
      <c r="BV774" s="364"/>
      <c r="BW774" s="364"/>
      <c r="BX774" s="364"/>
      <c r="BY774" s="250"/>
    </row>
    <row r="775" spans="3:78" ht="15" customHeight="1" thickBot="1">
      <c r="C775" s="307"/>
      <c r="D775" s="368"/>
      <c r="E775" s="371"/>
      <c r="F775" s="374"/>
      <c r="G775" s="377"/>
      <c r="H775" s="380"/>
      <c r="I775" s="383"/>
      <c r="J775" s="383"/>
      <c r="K775" s="386"/>
      <c r="L775" s="389"/>
      <c r="M775" s="392"/>
      <c r="N775" s="280" t="s">
        <v>380</v>
      </c>
      <c r="O775" s="212"/>
      <c r="P775" s="365" t="s">
        <v>154</v>
      </c>
      <c r="Q775" s="365"/>
      <c r="R775" s="171"/>
      <c r="S775" s="171"/>
      <c r="T775" s="166"/>
      <c r="U775" s="166"/>
      <c r="V775" s="166"/>
      <c r="W775" s="166"/>
      <c r="X775" s="166"/>
      <c r="Y775" s="166"/>
      <c r="Z775" s="166"/>
      <c r="AA775" s="166"/>
      <c r="AB775" s="166"/>
      <c r="AC775" s="166"/>
      <c r="AD775" s="166"/>
      <c r="AE775" s="166"/>
      <c r="AF775" s="166"/>
      <c r="AG775" s="166"/>
      <c r="AH775" s="166"/>
      <c r="AI775" s="166"/>
      <c r="AJ775" s="166"/>
      <c r="AK775" s="166"/>
      <c r="AL775" s="166"/>
      <c r="AM775" s="166"/>
      <c r="AN775" s="166"/>
      <c r="AO775" s="166"/>
      <c r="AP775" s="166"/>
      <c r="AQ775" s="166"/>
      <c r="AR775" s="166"/>
      <c r="AS775" s="166"/>
      <c r="AT775" s="166"/>
      <c r="AU775" s="166"/>
      <c r="AV775" s="166"/>
      <c r="AW775" s="166"/>
      <c r="AX775" s="166"/>
      <c r="AY775" s="166"/>
      <c r="AZ775" s="166"/>
      <c r="BA775" s="166"/>
      <c r="BB775" s="166"/>
      <c r="BC775" s="166"/>
      <c r="BD775" s="166"/>
      <c r="BE775" s="166"/>
      <c r="BF775" s="166"/>
      <c r="BG775" s="166"/>
      <c r="BH775" s="166"/>
      <c r="BI775" s="166"/>
      <c r="BJ775" s="166"/>
      <c r="BK775" s="166"/>
      <c r="BL775" s="166"/>
      <c r="BM775" s="166"/>
      <c r="BN775" s="167"/>
      <c r="BO775" s="251"/>
      <c r="BP775" s="250"/>
      <c r="BQ775" s="250"/>
      <c r="BR775" s="250"/>
      <c r="BS775" s="250"/>
      <c r="BT775" s="250"/>
      <c r="BU775" s="250"/>
      <c r="BY775" s="250"/>
    </row>
    <row r="776" spans="3:78" ht="11.25" customHeight="1">
      <c r="C776" s="97" t="s">
        <v>1240</v>
      </c>
      <c r="D776" s="366" t="s">
        <v>1437</v>
      </c>
      <c r="E776" s="369" t="s">
        <v>216</v>
      </c>
      <c r="F776" s="372" t="s">
        <v>154</v>
      </c>
      <c r="G776" s="375" t="s">
        <v>1458</v>
      </c>
      <c r="H776" s="378" t="s">
        <v>715</v>
      </c>
      <c r="I776" s="381" t="s">
        <v>715</v>
      </c>
      <c r="J776" s="381" t="s">
        <v>716</v>
      </c>
      <c r="K776" s="384">
        <v>1</v>
      </c>
      <c r="L776" s="387" t="s">
        <v>5</v>
      </c>
      <c r="M776" s="390">
        <v>0</v>
      </c>
      <c r="N776" s="163"/>
      <c r="O776" s="161"/>
      <c r="P776" s="161"/>
      <c r="Q776" s="161"/>
      <c r="R776" s="161"/>
      <c r="S776" s="161"/>
      <c r="T776" s="161"/>
      <c r="U776" s="161"/>
      <c r="V776" s="161"/>
      <c r="W776" s="161"/>
      <c r="X776" s="161"/>
      <c r="Y776" s="161"/>
      <c r="Z776" s="161"/>
      <c r="AA776" s="161"/>
      <c r="AB776" s="161"/>
      <c r="AC776" s="161"/>
      <c r="AD776" s="161"/>
      <c r="AE776" s="161"/>
      <c r="AF776" s="161"/>
      <c r="AG776" s="161"/>
      <c r="AH776" s="161"/>
      <c r="AI776" s="161"/>
      <c r="AJ776" s="161"/>
      <c r="AK776" s="161"/>
      <c r="AL776" s="161"/>
      <c r="AM776" s="161"/>
      <c r="AN776" s="161"/>
      <c r="AO776" s="161"/>
      <c r="AP776" s="161"/>
      <c r="AQ776" s="161"/>
      <c r="AR776" s="161"/>
      <c r="AS776" s="161"/>
      <c r="AT776" s="161"/>
      <c r="AU776" s="161"/>
      <c r="AV776" s="161"/>
      <c r="AW776" s="161"/>
      <c r="AX776" s="161"/>
      <c r="AY776" s="161"/>
      <c r="AZ776" s="161"/>
      <c r="BA776" s="161"/>
      <c r="BB776" s="161"/>
      <c r="BC776" s="161"/>
      <c r="BD776" s="161"/>
      <c r="BE776" s="161"/>
      <c r="BF776" s="161"/>
      <c r="BG776" s="161"/>
      <c r="BH776" s="161"/>
      <c r="BI776" s="161"/>
      <c r="BJ776" s="161"/>
      <c r="BK776" s="161"/>
      <c r="BL776" s="161"/>
      <c r="BM776" s="161"/>
      <c r="BN776" s="162"/>
      <c r="BO776" s="251"/>
      <c r="BP776" s="250"/>
      <c r="BQ776" s="250"/>
      <c r="BR776" s="250"/>
      <c r="BS776" s="250"/>
      <c r="BT776" s="250"/>
      <c r="BU776" s="250"/>
      <c r="BY776" s="250"/>
    </row>
    <row r="777" spans="3:78" ht="11.25" customHeight="1">
      <c r="C777" s="306"/>
      <c r="D777" s="367"/>
      <c r="E777" s="370"/>
      <c r="F777" s="373"/>
      <c r="G777" s="376"/>
      <c r="H777" s="379"/>
      <c r="I777" s="382"/>
      <c r="J777" s="382"/>
      <c r="K777" s="385"/>
      <c r="L777" s="388"/>
      <c r="M777" s="391"/>
      <c r="N777" s="393"/>
      <c r="O777" s="396">
        <v>1</v>
      </c>
      <c r="P777" s="399" t="s">
        <v>1297</v>
      </c>
      <c r="Q777" s="402"/>
      <c r="R777" s="361" t="s">
        <v>154</v>
      </c>
      <c r="S777" s="361" t="s">
        <v>154</v>
      </c>
      <c r="T777" s="361" t="s">
        <v>154</v>
      </c>
      <c r="U777" s="361" t="s">
        <v>154</v>
      </c>
      <c r="V777" s="361" t="s">
        <v>154</v>
      </c>
      <c r="W777" s="361" t="s">
        <v>154</v>
      </c>
      <c r="X777" s="361" t="s">
        <v>154</v>
      </c>
      <c r="Y777" s="361" t="s">
        <v>154</v>
      </c>
      <c r="Z777" s="361" t="s">
        <v>154</v>
      </c>
      <c r="AA777" s="361" t="s">
        <v>154</v>
      </c>
      <c r="AB777" s="361" t="s">
        <v>154</v>
      </c>
      <c r="AC777" s="361" t="s">
        <v>154</v>
      </c>
      <c r="AD777" s="361" t="s">
        <v>154</v>
      </c>
      <c r="AE777" s="209"/>
      <c r="AF777" s="220">
        <v>0</v>
      </c>
      <c r="AG777" s="219" t="s">
        <v>308</v>
      </c>
      <c r="AH777" s="219"/>
      <c r="AI777" s="219"/>
      <c r="AJ777" s="219"/>
      <c r="AK777" s="219"/>
      <c r="AL777" s="219"/>
      <c r="AM777" s="219"/>
      <c r="AN777" s="219"/>
      <c r="AO777" s="219"/>
      <c r="AP777" s="164"/>
      <c r="AQ777" s="164"/>
      <c r="AR777" s="164"/>
      <c r="AS777" s="164"/>
      <c r="AT777" s="164"/>
      <c r="AU777" s="164"/>
      <c r="AV777" s="164"/>
      <c r="AW777" s="164"/>
      <c r="AX777" s="164"/>
      <c r="AY777" s="164"/>
      <c r="AZ777" s="164"/>
      <c r="BA777" s="164"/>
      <c r="BB777" s="164"/>
      <c r="BC777" s="164"/>
      <c r="BD777" s="164"/>
      <c r="BE777" s="164"/>
      <c r="BF777" s="164"/>
      <c r="BG777" s="164"/>
      <c r="BH777" s="164"/>
      <c r="BI777" s="164"/>
      <c r="BJ777" s="164"/>
      <c r="BK777" s="164"/>
      <c r="BL777" s="164"/>
      <c r="BM777" s="164"/>
      <c r="BN777" s="165"/>
      <c r="BO777" s="251"/>
      <c r="BP777" s="364" t="s">
        <v>1298</v>
      </c>
      <c r="BQ777" s="364" t="s">
        <v>1298</v>
      </c>
      <c r="BR777" s="364" t="s">
        <v>1298</v>
      </c>
      <c r="BS777" s="250"/>
      <c r="BT777" s="364" t="s">
        <v>1298</v>
      </c>
      <c r="BU777" s="364" t="s">
        <v>1298</v>
      </c>
      <c r="BV777" s="364" t="s">
        <v>1298</v>
      </c>
      <c r="BW777" s="364" t="s">
        <v>1298</v>
      </c>
      <c r="BX777" s="364" t="s">
        <v>1298</v>
      </c>
      <c r="BY777" s="250"/>
    </row>
    <row r="778" spans="3:78" ht="14.25">
      <c r="C778" s="306"/>
      <c r="D778" s="367"/>
      <c r="E778" s="370"/>
      <c r="F778" s="373"/>
      <c r="G778" s="376"/>
      <c r="H778" s="379"/>
      <c r="I778" s="382"/>
      <c r="J778" s="382"/>
      <c r="K778" s="385"/>
      <c r="L778" s="388"/>
      <c r="M778" s="391"/>
      <c r="N778" s="394"/>
      <c r="O778" s="397"/>
      <c r="P778" s="400"/>
      <c r="Q778" s="403"/>
      <c r="R778" s="362"/>
      <c r="S778" s="362"/>
      <c r="T778" s="362"/>
      <c r="U778" s="362"/>
      <c r="V778" s="362"/>
      <c r="W778" s="362"/>
      <c r="X778" s="362"/>
      <c r="Y778" s="362"/>
      <c r="Z778" s="362"/>
      <c r="AA778" s="362"/>
      <c r="AB778" s="362"/>
      <c r="AC778" s="362"/>
      <c r="AD778" s="362"/>
      <c r="AE778" s="193"/>
      <c r="AF778" s="217" t="s">
        <v>268</v>
      </c>
      <c r="AG778" s="158" t="s">
        <v>240</v>
      </c>
      <c r="AH778" s="300" t="s">
        <v>19</v>
      </c>
      <c r="AI778" s="301" t="s">
        <v>154</v>
      </c>
      <c r="AJ778" s="221"/>
      <c r="AK778" s="221"/>
      <c r="AL778" s="221"/>
      <c r="AM778" s="221"/>
      <c r="AN778" s="221"/>
      <c r="AO778" s="221"/>
      <c r="AP778" s="302" t="s">
        <v>19</v>
      </c>
      <c r="AQ778" s="195">
        <f>SUM(AT778,AW778,AZ778,BC778,BF778,BI778,BL778)</f>
        <v>37404.000000000007</v>
      </c>
      <c r="AR778" s="197">
        <f>SUM(AT778,AX778,BA778,BD778,BG778,BJ778,BM778)</f>
        <v>0</v>
      </c>
      <c r="AS778" s="195">
        <f>AQ778-AR778</f>
        <v>37404.000000000007</v>
      </c>
      <c r="AT778" s="312"/>
      <c r="AU778" s="312"/>
      <c r="AV778" s="244"/>
      <c r="AW778" s="159"/>
      <c r="AX778" s="312"/>
      <c r="AY778" s="194">
        <f>AW778-AX778</f>
        <v>0</v>
      </c>
      <c r="AZ778" s="160"/>
      <c r="BA778" s="312"/>
      <c r="BB778" s="194">
        <f>AZ778-BA778</f>
        <v>0</v>
      </c>
      <c r="BC778" s="159">
        <v>37404.000000000007</v>
      </c>
      <c r="BD778" s="312"/>
      <c r="BE778" s="194">
        <f>BC778-BD778</f>
        <v>37404.000000000007</v>
      </c>
      <c r="BF778" s="159"/>
      <c r="BG778" s="244"/>
      <c r="BH778" s="194">
        <f>BF778-BG778</f>
        <v>0</v>
      </c>
      <c r="BI778" s="159"/>
      <c r="BJ778" s="244"/>
      <c r="BK778" s="194">
        <f>BI778-BJ778</f>
        <v>0</v>
      </c>
      <c r="BL778" s="312"/>
      <c r="BM778" s="312"/>
      <c r="BN778" s="195">
        <f>BL778-BM778</f>
        <v>0</v>
      </c>
      <c r="BO778" s="251">
        <v>0</v>
      </c>
      <c r="BP778" s="364"/>
      <c r="BQ778" s="364"/>
      <c r="BR778" s="364"/>
      <c r="BS778" s="249" t="str">
        <f>AG778 &amp; BO778</f>
        <v>Прибыль направляемая на инвестиции0</v>
      </c>
      <c r="BT778" s="364"/>
      <c r="BU778" s="364"/>
      <c r="BV778" s="364"/>
      <c r="BW778" s="364"/>
      <c r="BX778" s="364"/>
      <c r="BY778" s="249" t="str">
        <f>AG778&amp;AH778</f>
        <v>Прибыль направляемая на инвестициинет</v>
      </c>
      <c r="BZ778" s="250"/>
    </row>
    <row r="779" spans="3:78" ht="14.25">
      <c r="C779" s="97"/>
      <c r="D779" s="367"/>
      <c r="E779" s="370"/>
      <c r="F779" s="373"/>
      <c r="G779" s="376"/>
      <c r="H779" s="379"/>
      <c r="I779" s="382"/>
      <c r="J779" s="382"/>
      <c r="K779" s="385"/>
      <c r="L779" s="388"/>
      <c r="M779" s="391"/>
      <c r="N779" s="394"/>
      <c r="O779" s="397"/>
      <c r="P779" s="400"/>
      <c r="Q779" s="403"/>
      <c r="R779" s="362"/>
      <c r="S779" s="362"/>
      <c r="T779" s="362"/>
      <c r="U779" s="362"/>
      <c r="V779" s="362"/>
      <c r="W779" s="362"/>
      <c r="X779" s="362"/>
      <c r="Y779" s="362"/>
      <c r="Z779" s="362"/>
      <c r="AA779" s="362"/>
      <c r="AB779" s="362"/>
      <c r="AC779" s="362"/>
      <c r="AD779" s="362"/>
      <c r="AE779" s="322" t="s">
        <v>1240</v>
      </c>
      <c r="AF779" s="217" t="s">
        <v>118</v>
      </c>
      <c r="AG779" s="196" t="s">
        <v>223</v>
      </c>
      <c r="AH779" s="302" t="s">
        <v>19</v>
      </c>
      <c r="AI779" s="301" t="s">
        <v>154</v>
      </c>
      <c r="AJ779" s="221"/>
      <c r="AK779" s="221"/>
      <c r="AL779" s="221"/>
      <c r="AM779" s="221"/>
      <c r="AN779" s="221"/>
      <c r="AO779" s="221"/>
      <c r="AP779" s="302" t="s">
        <v>19</v>
      </c>
      <c r="AQ779" s="195">
        <f>SUM(AT779,AW779,AZ779,BC779,BF779,BI779,BL779)</f>
        <v>7480.7999999999956</v>
      </c>
      <c r="AR779" s="197">
        <f>SUM(AT779,AX779,BA779,BD779,BG779,BJ779,BM779)</f>
        <v>0</v>
      </c>
      <c r="AS779" s="195">
        <f>AQ779-AR779</f>
        <v>7480.7999999999956</v>
      </c>
      <c r="AT779" s="315"/>
      <c r="AU779" s="315"/>
      <c r="AV779" s="241"/>
      <c r="AW779" s="198"/>
      <c r="AX779" s="313"/>
      <c r="AY779" s="199">
        <f>AW779-AX779</f>
        <v>0</v>
      </c>
      <c r="AZ779" s="173"/>
      <c r="BA779" s="313"/>
      <c r="BB779" s="199">
        <f>AZ779-BA779</f>
        <v>0</v>
      </c>
      <c r="BC779" s="198">
        <f>44884.8-BC778</f>
        <v>7480.7999999999956</v>
      </c>
      <c r="BD779" s="313"/>
      <c r="BE779" s="199">
        <f>BC779-BD779</f>
        <v>7480.7999999999956</v>
      </c>
      <c r="BF779" s="198"/>
      <c r="BG779" s="241"/>
      <c r="BH779" s="199">
        <f>BF779-BG779</f>
        <v>0</v>
      </c>
      <c r="BI779" s="198"/>
      <c r="BJ779" s="241"/>
      <c r="BK779" s="199">
        <f>BI779-BJ779</f>
        <v>0</v>
      </c>
      <c r="BL779" s="313"/>
      <c r="BM779" s="313"/>
      <c r="BN779" s="195">
        <f>BL779-BM779</f>
        <v>0</v>
      </c>
      <c r="BO779" s="251">
        <v>0</v>
      </c>
      <c r="BP779" s="364"/>
      <c r="BQ779" s="364"/>
      <c r="BR779" s="364"/>
      <c r="BS779" s="249" t="str">
        <f>AG779 &amp; BO779</f>
        <v>Прочие собственные средства0</v>
      </c>
      <c r="BT779" s="364"/>
      <c r="BU779" s="364"/>
      <c r="BV779" s="364"/>
      <c r="BW779" s="364"/>
      <c r="BX779" s="364"/>
      <c r="BY779" s="249" t="str">
        <f>AG779&amp;AH779</f>
        <v>Прочие собственные средстванет</v>
      </c>
      <c r="BZ779" s="250"/>
    </row>
    <row r="780" spans="3:78" ht="15" customHeight="1">
      <c r="C780" s="306"/>
      <c r="D780" s="367"/>
      <c r="E780" s="370"/>
      <c r="F780" s="373"/>
      <c r="G780" s="376"/>
      <c r="H780" s="379"/>
      <c r="I780" s="382"/>
      <c r="J780" s="382"/>
      <c r="K780" s="385"/>
      <c r="L780" s="388"/>
      <c r="M780" s="391"/>
      <c r="N780" s="395"/>
      <c r="O780" s="398"/>
      <c r="P780" s="401"/>
      <c r="Q780" s="404"/>
      <c r="R780" s="363"/>
      <c r="S780" s="363"/>
      <c r="T780" s="363"/>
      <c r="U780" s="363"/>
      <c r="V780" s="363"/>
      <c r="W780" s="363"/>
      <c r="X780" s="363"/>
      <c r="Y780" s="363"/>
      <c r="Z780" s="363"/>
      <c r="AA780" s="363"/>
      <c r="AB780" s="363"/>
      <c r="AC780" s="363"/>
      <c r="AD780" s="363"/>
      <c r="AE780" s="279" t="s">
        <v>379</v>
      </c>
      <c r="AF780" s="203"/>
      <c r="AG780" s="223" t="s">
        <v>24</v>
      </c>
      <c r="AH780" s="223"/>
      <c r="AI780" s="223"/>
      <c r="AJ780" s="223"/>
      <c r="AK780" s="223"/>
      <c r="AL780" s="223"/>
      <c r="AM780" s="223"/>
      <c r="AN780" s="223"/>
      <c r="AO780" s="223"/>
      <c r="AP780" s="168"/>
      <c r="AQ780" s="169"/>
      <c r="AR780" s="169"/>
      <c r="AS780" s="169"/>
      <c r="AT780" s="169"/>
      <c r="AU780" s="169"/>
      <c r="AV780" s="169"/>
      <c r="AW780" s="169"/>
      <c r="AX780" s="169"/>
      <c r="AY780" s="169"/>
      <c r="AZ780" s="169"/>
      <c r="BA780" s="169"/>
      <c r="BB780" s="169"/>
      <c r="BC780" s="169"/>
      <c r="BD780" s="169"/>
      <c r="BE780" s="169"/>
      <c r="BF780" s="169"/>
      <c r="BG780" s="169"/>
      <c r="BH780" s="169"/>
      <c r="BI780" s="169"/>
      <c r="BJ780" s="169"/>
      <c r="BK780" s="169"/>
      <c r="BL780" s="169"/>
      <c r="BM780" s="169"/>
      <c r="BN780" s="170"/>
      <c r="BO780" s="251"/>
      <c r="BP780" s="364"/>
      <c r="BQ780" s="364"/>
      <c r="BR780" s="364"/>
      <c r="BS780" s="250"/>
      <c r="BT780" s="364"/>
      <c r="BU780" s="364"/>
      <c r="BV780" s="364"/>
      <c r="BW780" s="364"/>
      <c r="BX780" s="364"/>
      <c r="BY780" s="250"/>
    </row>
    <row r="781" spans="3:78" ht="15" customHeight="1" thickBot="1">
      <c r="C781" s="307"/>
      <c r="D781" s="368"/>
      <c r="E781" s="371"/>
      <c r="F781" s="374"/>
      <c r="G781" s="377"/>
      <c r="H781" s="380"/>
      <c r="I781" s="383"/>
      <c r="J781" s="383"/>
      <c r="K781" s="386"/>
      <c r="L781" s="389"/>
      <c r="M781" s="392"/>
      <c r="N781" s="280" t="s">
        <v>380</v>
      </c>
      <c r="O781" s="212"/>
      <c r="P781" s="365" t="s">
        <v>154</v>
      </c>
      <c r="Q781" s="365"/>
      <c r="R781" s="171"/>
      <c r="S781" s="171"/>
      <c r="T781" s="166"/>
      <c r="U781" s="166"/>
      <c r="V781" s="166"/>
      <c r="W781" s="166"/>
      <c r="X781" s="166"/>
      <c r="Y781" s="166"/>
      <c r="Z781" s="166"/>
      <c r="AA781" s="166"/>
      <c r="AB781" s="166"/>
      <c r="AC781" s="166"/>
      <c r="AD781" s="166"/>
      <c r="AE781" s="166"/>
      <c r="AF781" s="166"/>
      <c r="AG781" s="166"/>
      <c r="AH781" s="166"/>
      <c r="AI781" s="166"/>
      <c r="AJ781" s="166"/>
      <c r="AK781" s="166"/>
      <c r="AL781" s="166"/>
      <c r="AM781" s="166"/>
      <c r="AN781" s="166"/>
      <c r="AO781" s="166"/>
      <c r="AP781" s="166"/>
      <c r="AQ781" s="166"/>
      <c r="AR781" s="166"/>
      <c r="AS781" s="166"/>
      <c r="AT781" s="166"/>
      <c r="AU781" s="166"/>
      <c r="AV781" s="166"/>
      <c r="AW781" s="166"/>
      <c r="AX781" s="166"/>
      <c r="AY781" s="166"/>
      <c r="AZ781" s="166"/>
      <c r="BA781" s="166"/>
      <c r="BB781" s="166"/>
      <c r="BC781" s="166"/>
      <c r="BD781" s="166"/>
      <c r="BE781" s="166"/>
      <c r="BF781" s="166"/>
      <c r="BG781" s="166"/>
      <c r="BH781" s="166"/>
      <c r="BI781" s="166"/>
      <c r="BJ781" s="166"/>
      <c r="BK781" s="166"/>
      <c r="BL781" s="166"/>
      <c r="BM781" s="166"/>
      <c r="BN781" s="167"/>
      <c r="BO781" s="251"/>
      <c r="BP781" s="250"/>
      <c r="BQ781" s="250"/>
      <c r="BR781" s="250"/>
      <c r="BS781" s="250"/>
      <c r="BT781" s="250"/>
      <c r="BU781" s="250"/>
      <c r="BY781" s="250"/>
    </row>
    <row r="782" spans="3:78" ht="11.25" customHeight="1">
      <c r="C782" s="97" t="s">
        <v>1240</v>
      </c>
      <c r="D782" s="366" t="s">
        <v>1438</v>
      </c>
      <c r="E782" s="369" t="s">
        <v>216</v>
      </c>
      <c r="F782" s="372" t="s">
        <v>154</v>
      </c>
      <c r="G782" s="375" t="s">
        <v>1459</v>
      </c>
      <c r="H782" s="378" t="s">
        <v>715</v>
      </c>
      <c r="I782" s="381" t="s">
        <v>715</v>
      </c>
      <c r="J782" s="381" t="s">
        <v>716</v>
      </c>
      <c r="K782" s="384">
        <v>1</v>
      </c>
      <c r="L782" s="387" t="s">
        <v>5</v>
      </c>
      <c r="M782" s="390">
        <v>0</v>
      </c>
      <c r="N782" s="163"/>
      <c r="O782" s="161"/>
      <c r="P782" s="161"/>
      <c r="Q782" s="161"/>
      <c r="R782" s="161"/>
      <c r="S782" s="161"/>
      <c r="T782" s="161"/>
      <c r="U782" s="161"/>
      <c r="V782" s="161"/>
      <c r="W782" s="161"/>
      <c r="X782" s="161"/>
      <c r="Y782" s="161"/>
      <c r="Z782" s="161"/>
      <c r="AA782" s="161"/>
      <c r="AB782" s="161"/>
      <c r="AC782" s="161"/>
      <c r="AD782" s="161"/>
      <c r="AE782" s="161"/>
      <c r="AF782" s="161"/>
      <c r="AG782" s="161"/>
      <c r="AH782" s="161"/>
      <c r="AI782" s="161"/>
      <c r="AJ782" s="161"/>
      <c r="AK782" s="161"/>
      <c r="AL782" s="161"/>
      <c r="AM782" s="161"/>
      <c r="AN782" s="161"/>
      <c r="AO782" s="161"/>
      <c r="AP782" s="161"/>
      <c r="AQ782" s="161"/>
      <c r="AR782" s="161"/>
      <c r="AS782" s="161"/>
      <c r="AT782" s="161"/>
      <c r="AU782" s="161"/>
      <c r="AV782" s="161"/>
      <c r="AW782" s="161"/>
      <c r="AX782" s="161"/>
      <c r="AY782" s="161"/>
      <c r="AZ782" s="161"/>
      <c r="BA782" s="161"/>
      <c r="BB782" s="161"/>
      <c r="BC782" s="161"/>
      <c r="BD782" s="161"/>
      <c r="BE782" s="161"/>
      <c r="BF782" s="161"/>
      <c r="BG782" s="161"/>
      <c r="BH782" s="161"/>
      <c r="BI782" s="161"/>
      <c r="BJ782" s="161"/>
      <c r="BK782" s="161"/>
      <c r="BL782" s="161"/>
      <c r="BM782" s="161"/>
      <c r="BN782" s="162"/>
      <c r="BO782" s="251"/>
      <c r="BP782" s="250"/>
      <c r="BQ782" s="250"/>
      <c r="BR782" s="250"/>
      <c r="BS782" s="250"/>
      <c r="BT782" s="250"/>
      <c r="BU782" s="250"/>
      <c r="BY782" s="250"/>
    </row>
    <row r="783" spans="3:78" ht="11.25" customHeight="1">
      <c r="C783" s="306"/>
      <c r="D783" s="367"/>
      <c r="E783" s="370"/>
      <c r="F783" s="373"/>
      <c r="G783" s="376"/>
      <c r="H783" s="379"/>
      <c r="I783" s="382"/>
      <c r="J783" s="382"/>
      <c r="K783" s="385"/>
      <c r="L783" s="388"/>
      <c r="M783" s="391"/>
      <c r="N783" s="393"/>
      <c r="O783" s="396">
        <v>1</v>
      </c>
      <c r="P783" s="399" t="s">
        <v>1297</v>
      </c>
      <c r="Q783" s="402"/>
      <c r="R783" s="361" t="s">
        <v>154</v>
      </c>
      <c r="S783" s="361" t="s">
        <v>154</v>
      </c>
      <c r="T783" s="361" t="s">
        <v>154</v>
      </c>
      <c r="U783" s="361" t="s">
        <v>154</v>
      </c>
      <c r="V783" s="361" t="s">
        <v>154</v>
      </c>
      <c r="W783" s="361" t="s">
        <v>154</v>
      </c>
      <c r="X783" s="361" t="s">
        <v>154</v>
      </c>
      <c r="Y783" s="361" t="s">
        <v>154</v>
      </c>
      <c r="Z783" s="361" t="s">
        <v>154</v>
      </c>
      <c r="AA783" s="361" t="s">
        <v>154</v>
      </c>
      <c r="AB783" s="361" t="s">
        <v>154</v>
      </c>
      <c r="AC783" s="361" t="s">
        <v>154</v>
      </c>
      <c r="AD783" s="361" t="s">
        <v>154</v>
      </c>
      <c r="AE783" s="209"/>
      <c r="AF783" s="220">
        <v>0</v>
      </c>
      <c r="AG783" s="219" t="s">
        <v>308</v>
      </c>
      <c r="AH783" s="219"/>
      <c r="AI783" s="219"/>
      <c r="AJ783" s="219"/>
      <c r="AK783" s="219"/>
      <c r="AL783" s="219"/>
      <c r="AM783" s="219"/>
      <c r="AN783" s="219"/>
      <c r="AO783" s="219"/>
      <c r="AP783" s="164"/>
      <c r="AQ783" s="164"/>
      <c r="AR783" s="164"/>
      <c r="AS783" s="164"/>
      <c r="AT783" s="164"/>
      <c r="AU783" s="164"/>
      <c r="AV783" s="164"/>
      <c r="AW783" s="164"/>
      <c r="AX783" s="164"/>
      <c r="AY783" s="164"/>
      <c r="AZ783" s="164"/>
      <c r="BA783" s="164"/>
      <c r="BB783" s="164"/>
      <c r="BC783" s="164"/>
      <c r="BD783" s="164"/>
      <c r="BE783" s="164"/>
      <c r="BF783" s="164"/>
      <c r="BG783" s="164"/>
      <c r="BH783" s="164"/>
      <c r="BI783" s="164"/>
      <c r="BJ783" s="164"/>
      <c r="BK783" s="164"/>
      <c r="BL783" s="164"/>
      <c r="BM783" s="164"/>
      <c r="BN783" s="165"/>
      <c r="BO783" s="251"/>
      <c r="BP783" s="364" t="s">
        <v>1298</v>
      </c>
      <c r="BQ783" s="364" t="s">
        <v>1298</v>
      </c>
      <c r="BR783" s="364" t="s">
        <v>1298</v>
      </c>
      <c r="BS783" s="250"/>
      <c r="BT783" s="364" t="s">
        <v>1298</v>
      </c>
      <c r="BU783" s="364" t="s">
        <v>1298</v>
      </c>
      <c r="BV783" s="364" t="s">
        <v>1298</v>
      </c>
      <c r="BW783" s="364" t="s">
        <v>1298</v>
      </c>
      <c r="BX783" s="364" t="s">
        <v>1298</v>
      </c>
      <c r="BY783" s="250"/>
    </row>
    <row r="784" spans="3:78" ht="14.25">
      <c r="C784" s="306"/>
      <c r="D784" s="367"/>
      <c r="E784" s="370"/>
      <c r="F784" s="373"/>
      <c r="G784" s="376"/>
      <c r="H784" s="379"/>
      <c r="I784" s="382"/>
      <c r="J784" s="382"/>
      <c r="K784" s="385"/>
      <c r="L784" s="388"/>
      <c r="M784" s="391"/>
      <c r="N784" s="394"/>
      <c r="O784" s="397"/>
      <c r="P784" s="400"/>
      <c r="Q784" s="403"/>
      <c r="R784" s="362"/>
      <c r="S784" s="362"/>
      <c r="T784" s="362"/>
      <c r="U784" s="362"/>
      <c r="V784" s="362"/>
      <c r="W784" s="362"/>
      <c r="X784" s="362"/>
      <c r="Y784" s="362"/>
      <c r="Z784" s="362"/>
      <c r="AA784" s="362"/>
      <c r="AB784" s="362"/>
      <c r="AC784" s="362"/>
      <c r="AD784" s="362"/>
      <c r="AE784" s="193"/>
      <c r="AF784" s="217" t="s">
        <v>268</v>
      </c>
      <c r="AG784" s="158" t="s">
        <v>240</v>
      </c>
      <c r="AH784" s="300" t="s">
        <v>19</v>
      </c>
      <c r="AI784" s="301" t="s">
        <v>154</v>
      </c>
      <c r="AJ784" s="221"/>
      <c r="AK784" s="221"/>
      <c r="AL784" s="221"/>
      <c r="AM784" s="221"/>
      <c r="AN784" s="221"/>
      <c r="AO784" s="221"/>
      <c r="AP784" s="302" t="s">
        <v>19</v>
      </c>
      <c r="AQ784" s="195">
        <f>SUM(AT784,AW784,AZ784,BC784,BF784,BI784,BL784)</f>
        <v>35979.000000000007</v>
      </c>
      <c r="AR784" s="197">
        <f>SUM(AT784,AX784,BA784,BD784,BG784,BJ784,BM784)</f>
        <v>0</v>
      </c>
      <c r="AS784" s="195">
        <f>AQ784-AR784</f>
        <v>35979.000000000007</v>
      </c>
      <c r="AT784" s="312"/>
      <c r="AU784" s="312"/>
      <c r="AV784" s="244"/>
      <c r="AW784" s="159"/>
      <c r="AX784" s="312"/>
      <c r="AY784" s="194">
        <f>AW784-AX784</f>
        <v>0</v>
      </c>
      <c r="AZ784" s="160"/>
      <c r="BA784" s="312"/>
      <c r="BB784" s="194">
        <f>AZ784-BA784</f>
        <v>0</v>
      </c>
      <c r="BC784" s="159">
        <v>35979.000000000007</v>
      </c>
      <c r="BD784" s="312"/>
      <c r="BE784" s="194">
        <f>BC784-BD784</f>
        <v>35979.000000000007</v>
      </c>
      <c r="BF784" s="159"/>
      <c r="BG784" s="244"/>
      <c r="BH784" s="194">
        <f>BF784-BG784</f>
        <v>0</v>
      </c>
      <c r="BI784" s="159"/>
      <c r="BJ784" s="244"/>
      <c r="BK784" s="194">
        <f>BI784-BJ784</f>
        <v>0</v>
      </c>
      <c r="BL784" s="312"/>
      <c r="BM784" s="312"/>
      <c r="BN784" s="195">
        <f>BL784-BM784</f>
        <v>0</v>
      </c>
      <c r="BO784" s="251">
        <v>0</v>
      </c>
      <c r="BP784" s="364"/>
      <c r="BQ784" s="364"/>
      <c r="BR784" s="364"/>
      <c r="BS784" s="249" t="str">
        <f>AG784 &amp; BO784</f>
        <v>Прибыль направляемая на инвестиции0</v>
      </c>
      <c r="BT784" s="364"/>
      <c r="BU784" s="364"/>
      <c r="BV784" s="364"/>
      <c r="BW784" s="364"/>
      <c r="BX784" s="364"/>
      <c r="BY784" s="249" t="str">
        <f>AG784&amp;AH784</f>
        <v>Прибыль направляемая на инвестициинет</v>
      </c>
      <c r="BZ784" s="250"/>
    </row>
    <row r="785" spans="3:78" ht="14.25">
      <c r="C785" s="97"/>
      <c r="D785" s="367"/>
      <c r="E785" s="370"/>
      <c r="F785" s="373"/>
      <c r="G785" s="376"/>
      <c r="H785" s="379"/>
      <c r="I785" s="382"/>
      <c r="J785" s="382"/>
      <c r="K785" s="385"/>
      <c r="L785" s="388"/>
      <c r="M785" s="391"/>
      <c r="N785" s="394"/>
      <c r="O785" s="397"/>
      <c r="P785" s="400"/>
      <c r="Q785" s="403"/>
      <c r="R785" s="362"/>
      <c r="S785" s="362"/>
      <c r="T785" s="362"/>
      <c r="U785" s="362"/>
      <c r="V785" s="362"/>
      <c r="W785" s="362"/>
      <c r="X785" s="362"/>
      <c r="Y785" s="362"/>
      <c r="Z785" s="362"/>
      <c r="AA785" s="362"/>
      <c r="AB785" s="362"/>
      <c r="AC785" s="362"/>
      <c r="AD785" s="362"/>
      <c r="AE785" s="322" t="s">
        <v>1240</v>
      </c>
      <c r="AF785" s="217" t="s">
        <v>118</v>
      </c>
      <c r="AG785" s="196" t="s">
        <v>223</v>
      </c>
      <c r="AH785" s="302" t="s">
        <v>19</v>
      </c>
      <c r="AI785" s="301" t="s">
        <v>154</v>
      </c>
      <c r="AJ785" s="221"/>
      <c r="AK785" s="221"/>
      <c r="AL785" s="221"/>
      <c r="AM785" s="221"/>
      <c r="AN785" s="221"/>
      <c r="AO785" s="221"/>
      <c r="AP785" s="302" t="s">
        <v>19</v>
      </c>
      <c r="AQ785" s="195">
        <f>SUM(AT785,AW785,AZ785,BC785,BF785,BI785,BL785)</f>
        <v>7195.7999999999956</v>
      </c>
      <c r="AR785" s="197">
        <f>SUM(AT785,AX785,BA785,BD785,BG785,BJ785,BM785)</f>
        <v>0</v>
      </c>
      <c r="AS785" s="195">
        <f>AQ785-AR785</f>
        <v>7195.7999999999956</v>
      </c>
      <c r="AT785" s="315"/>
      <c r="AU785" s="315"/>
      <c r="AV785" s="241"/>
      <c r="AW785" s="198"/>
      <c r="AX785" s="313"/>
      <c r="AY785" s="199">
        <f>AW785-AX785</f>
        <v>0</v>
      </c>
      <c r="AZ785" s="173"/>
      <c r="BA785" s="313"/>
      <c r="BB785" s="199">
        <f>AZ785-BA785</f>
        <v>0</v>
      </c>
      <c r="BC785" s="198">
        <f>43174.8-BC784</f>
        <v>7195.7999999999956</v>
      </c>
      <c r="BD785" s="313"/>
      <c r="BE785" s="199">
        <f>BC785-BD785</f>
        <v>7195.7999999999956</v>
      </c>
      <c r="BF785" s="198"/>
      <c r="BG785" s="241"/>
      <c r="BH785" s="199">
        <f>BF785-BG785</f>
        <v>0</v>
      </c>
      <c r="BI785" s="198"/>
      <c r="BJ785" s="241"/>
      <c r="BK785" s="199">
        <f>BI785-BJ785</f>
        <v>0</v>
      </c>
      <c r="BL785" s="313"/>
      <c r="BM785" s="313"/>
      <c r="BN785" s="195">
        <f>BL785-BM785</f>
        <v>0</v>
      </c>
      <c r="BO785" s="251">
        <v>0</v>
      </c>
      <c r="BP785" s="364"/>
      <c r="BQ785" s="364"/>
      <c r="BR785" s="364"/>
      <c r="BS785" s="249" t="str">
        <f>AG785 &amp; BO785</f>
        <v>Прочие собственные средства0</v>
      </c>
      <c r="BT785" s="364"/>
      <c r="BU785" s="364"/>
      <c r="BV785" s="364"/>
      <c r="BW785" s="364"/>
      <c r="BX785" s="364"/>
      <c r="BY785" s="249" t="str">
        <f>AG785&amp;AH785</f>
        <v>Прочие собственные средстванет</v>
      </c>
      <c r="BZ785" s="250"/>
    </row>
    <row r="786" spans="3:78" ht="15" customHeight="1">
      <c r="C786" s="306"/>
      <c r="D786" s="367"/>
      <c r="E786" s="370"/>
      <c r="F786" s="373"/>
      <c r="G786" s="376"/>
      <c r="H786" s="379"/>
      <c r="I786" s="382"/>
      <c r="J786" s="382"/>
      <c r="K786" s="385"/>
      <c r="L786" s="388"/>
      <c r="M786" s="391"/>
      <c r="N786" s="395"/>
      <c r="O786" s="398"/>
      <c r="P786" s="401"/>
      <c r="Q786" s="404"/>
      <c r="R786" s="363"/>
      <c r="S786" s="363"/>
      <c r="T786" s="363"/>
      <c r="U786" s="363"/>
      <c r="V786" s="363"/>
      <c r="W786" s="363"/>
      <c r="X786" s="363"/>
      <c r="Y786" s="363"/>
      <c r="Z786" s="363"/>
      <c r="AA786" s="363"/>
      <c r="AB786" s="363"/>
      <c r="AC786" s="363"/>
      <c r="AD786" s="363"/>
      <c r="AE786" s="279" t="s">
        <v>379</v>
      </c>
      <c r="AF786" s="203"/>
      <c r="AG786" s="223" t="s">
        <v>24</v>
      </c>
      <c r="AH786" s="223"/>
      <c r="AI786" s="223"/>
      <c r="AJ786" s="223"/>
      <c r="AK786" s="223"/>
      <c r="AL786" s="223"/>
      <c r="AM786" s="223"/>
      <c r="AN786" s="223"/>
      <c r="AO786" s="223"/>
      <c r="AP786" s="168"/>
      <c r="AQ786" s="169"/>
      <c r="AR786" s="169"/>
      <c r="AS786" s="169"/>
      <c r="AT786" s="169"/>
      <c r="AU786" s="169"/>
      <c r="AV786" s="169"/>
      <c r="AW786" s="169"/>
      <c r="AX786" s="169"/>
      <c r="AY786" s="169"/>
      <c r="AZ786" s="169"/>
      <c r="BA786" s="169"/>
      <c r="BB786" s="169"/>
      <c r="BC786" s="169"/>
      <c r="BD786" s="169"/>
      <c r="BE786" s="169"/>
      <c r="BF786" s="169"/>
      <c r="BG786" s="169"/>
      <c r="BH786" s="169"/>
      <c r="BI786" s="169"/>
      <c r="BJ786" s="169"/>
      <c r="BK786" s="169"/>
      <c r="BL786" s="169"/>
      <c r="BM786" s="169"/>
      <c r="BN786" s="170"/>
      <c r="BO786" s="251"/>
      <c r="BP786" s="364"/>
      <c r="BQ786" s="364"/>
      <c r="BR786" s="364"/>
      <c r="BS786" s="250"/>
      <c r="BT786" s="364"/>
      <c r="BU786" s="364"/>
      <c r="BV786" s="364"/>
      <c r="BW786" s="364"/>
      <c r="BX786" s="364"/>
      <c r="BY786" s="250"/>
    </row>
    <row r="787" spans="3:78" ht="15" customHeight="1" thickBot="1">
      <c r="C787" s="307"/>
      <c r="D787" s="368"/>
      <c r="E787" s="371"/>
      <c r="F787" s="374"/>
      <c r="G787" s="377"/>
      <c r="H787" s="380"/>
      <c r="I787" s="383"/>
      <c r="J787" s="383"/>
      <c r="K787" s="386"/>
      <c r="L787" s="389"/>
      <c r="M787" s="392"/>
      <c r="N787" s="280" t="s">
        <v>380</v>
      </c>
      <c r="O787" s="212"/>
      <c r="P787" s="365" t="s">
        <v>154</v>
      </c>
      <c r="Q787" s="365"/>
      <c r="R787" s="171"/>
      <c r="S787" s="171"/>
      <c r="T787" s="166"/>
      <c r="U787" s="166"/>
      <c r="V787" s="166"/>
      <c r="W787" s="166"/>
      <c r="X787" s="166"/>
      <c r="Y787" s="166"/>
      <c r="Z787" s="166"/>
      <c r="AA787" s="166"/>
      <c r="AB787" s="166"/>
      <c r="AC787" s="166"/>
      <c r="AD787" s="166"/>
      <c r="AE787" s="166"/>
      <c r="AF787" s="166"/>
      <c r="AG787" s="166"/>
      <c r="AH787" s="166"/>
      <c r="AI787" s="166"/>
      <c r="AJ787" s="166"/>
      <c r="AK787" s="166"/>
      <c r="AL787" s="166"/>
      <c r="AM787" s="166"/>
      <c r="AN787" s="166"/>
      <c r="AO787" s="166"/>
      <c r="AP787" s="166"/>
      <c r="AQ787" s="166"/>
      <c r="AR787" s="166"/>
      <c r="AS787" s="166"/>
      <c r="AT787" s="166"/>
      <c r="AU787" s="166"/>
      <c r="AV787" s="166"/>
      <c r="AW787" s="166"/>
      <c r="AX787" s="166"/>
      <c r="AY787" s="166"/>
      <c r="AZ787" s="166"/>
      <c r="BA787" s="166"/>
      <c r="BB787" s="166"/>
      <c r="BC787" s="166"/>
      <c r="BD787" s="166"/>
      <c r="BE787" s="166"/>
      <c r="BF787" s="166"/>
      <c r="BG787" s="166"/>
      <c r="BH787" s="166"/>
      <c r="BI787" s="166"/>
      <c r="BJ787" s="166"/>
      <c r="BK787" s="166"/>
      <c r="BL787" s="166"/>
      <c r="BM787" s="166"/>
      <c r="BN787" s="167"/>
      <c r="BO787" s="251"/>
      <c r="BP787" s="250"/>
      <c r="BQ787" s="250"/>
      <c r="BR787" s="250"/>
      <c r="BS787" s="250"/>
      <c r="BT787" s="250"/>
      <c r="BU787" s="250"/>
      <c r="BY787" s="250"/>
    </row>
    <row r="788" spans="3:78" ht="11.25" customHeight="1">
      <c r="C788" s="97" t="s">
        <v>1240</v>
      </c>
      <c r="D788" s="366" t="s">
        <v>1439</v>
      </c>
      <c r="E788" s="369" t="s">
        <v>216</v>
      </c>
      <c r="F788" s="372" t="s">
        <v>154</v>
      </c>
      <c r="G788" s="375" t="s">
        <v>1460</v>
      </c>
      <c r="H788" s="378" t="s">
        <v>715</v>
      </c>
      <c r="I788" s="381" t="s">
        <v>715</v>
      </c>
      <c r="J788" s="381" t="s">
        <v>716</v>
      </c>
      <c r="K788" s="384">
        <v>1</v>
      </c>
      <c r="L788" s="387" t="s">
        <v>5</v>
      </c>
      <c r="M788" s="390">
        <v>0</v>
      </c>
      <c r="N788" s="163"/>
      <c r="O788" s="161"/>
      <c r="P788" s="161"/>
      <c r="Q788" s="161"/>
      <c r="R788" s="161"/>
      <c r="S788" s="161"/>
      <c r="T788" s="161"/>
      <c r="U788" s="161"/>
      <c r="V788" s="161"/>
      <c r="W788" s="161"/>
      <c r="X788" s="161"/>
      <c r="Y788" s="161"/>
      <c r="Z788" s="161"/>
      <c r="AA788" s="161"/>
      <c r="AB788" s="161"/>
      <c r="AC788" s="161"/>
      <c r="AD788" s="161"/>
      <c r="AE788" s="161"/>
      <c r="AF788" s="161"/>
      <c r="AG788" s="161"/>
      <c r="AH788" s="161"/>
      <c r="AI788" s="161"/>
      <c r="AJ788" s="161"/>
      <c r="AK788" s="161"/>
      <c r="AL788" s="161"/>
      <c r="AM788" s="161"/>
      <c r="AN788" s="161"/>
      <c r="AO788" s="161"/>
      <c r="AP788" s="161"/>
      <c r="AQ788" s="161"/>
      <c r="AR788" s="161"/>
      <c r="AS788" s="161"/>
      <c r="AT788" s="161"/>
      <c r="AU788" s="161"/>
      <c r="AV788" s="161"/>
      <c r="AW788" s="161"/>
      <c r="AX788" s="161"/>
      <c r="AY788" s="161"/>
      <c r="AZ788" s="161"/>
      <c r="BA788" s="161"/>
      <c r="BB788" s="161"/>
      <c r="BC788" s="161"/>
      <c r="BD788" s="161"/>
      <c r="BE788" s="161"/>
      <c r="BF788" s="161"/>
      <c r="BG788" s="161"/>
      <c r="BH788" s="161"/>
      <c r="BI788" s="161"/>
      <c r="BJ788" s="161"/>
      <c r="BK788" s="161"/>
      <c r="BL788" s="161"/>
      <c r="BM788" s="161"/>
      <c r="BN788" s="162"/>
      <c r="BO788" s="251"/>
      <c r="BP788" s="250"/>
      <c r="BQ788" s="250"/>
      <c r="BR788" s="250"/>
      <c r="BS788" s="250"/>
      <c r="BT788" s="250"/>
      <c r="BU788" s="250"/>
      <c r="BY788" s="250"/>
    </row>
    <row r="789" spans="3:78" ht="11.25" customHeight="1">
      <c r="C789" s="306"/>
      <c r="D789" s="367"/>
      <c r="E789" s="370"/>
      <c r="F789" s="373"/>
      <c r="G789" s="376"/>
      <c r="H789" s="379"/>
      <c r="I789" s="382"/>
      <c r="J789" s="382"/>
      <c r="K789" s="385"/>
      <c r="L789" s="388"/>
      <c r="M789" s="391"/>
      <c r="N789" s="393"/>
      <c r="O789" s="396">
        <v>1</v>
      </c>
      <c r="P789" s="399" t="s">
        <v>1297</v>
      </c>
      <c r="Q789" s="402"/>
      <c r="R789" s="361" t="s">
        <v>154</v>
      </c>
      <c r="S789" s="361" t="s">
        <v>154</v>
      </c>
      <c r="T789" s="361" t="s">
        <v>154</v>
      </c>
      <c r="U789" s="361" t="s">
        <v>154</v>
      </c>
      <c r="V789" s="361" t="s">
        <v>154</v>
      </c>
      <c r="W789" s="361" t="s">
        <v>154</v>
      </c>
      <c r="X789" s="361" t="s">
        <v>154</v>
      </c>
      <c r="Y789" s="361" t="s">
        <v>154</v>
      </c>
      <c r="Z789" s="361" t="s">
        <v>154</v>
      </c>
      <c r="AA789" s="361" t="s">
        <v>154</v>
      </c>
      <c r="AB789" s="361" t="s">
        <v>154</v>
      </c>
      <c r="AC789" s="361" t="s">
        <v>154</v>
      </c>
      <c r="AD789" s="361" t="s">
        <v>154</v>
      </c>
      <c r="AE789" s="209"/>
      <c r="AF789" s="220">
        <v>0</v>
      </c>
      <c r="AG789" s="219" t="s">
        <v>308</v>
      </c>
      <c r="AH789" s="219"/>
      <c r="AI789" s="219"/>
      <c r="AJ789" s="219"/>
      <c r="AK789" s="219"/>
      <c r="AL789" s="219"/>
      <c r="AM789" s="219"/>
      <c r="AN789" s="219"/>
      <c r="AO789" s="219"/>
      <c r="AP789" s="164"/>
      <c r="AQ789" s="164"/>
      <c r="AR789" s="164"/>
      <c r="AS789" s="164"/>
      <c r="AT789" s="164"/>
      <c r="AU789" s="164"/>
      <c r="AV789" s="164"/>
      <c r="AW789" s="164"/>
      <c r="AX789" s="164"/>
      <c r="AY789" s="164"/>
      <c r="AZ789" s="164"/>
      <c r="BA789" s="164"/>
      <c r="BB789" s="164"/>
      <c r="BC789" s="164"/>
      <c r="BD789" s="164"/>
      <c r="BE789" s="164"/>
      <c r="BF789" s="164"/>
      <c r="BG789" s="164"/>
      <c r="BH789" s="164"/>
      <c r="BI789" s="164"/>
      <c r="BJ789" s="164"/>
      <c r="BK789" s="164"/>
      <c r="BL789" s="164"/>
      <c r="BM789" s="164"/>
      <c r="BN789" s="165"/>
      <c r="BO789" s="251"/>
      <c r="BP789" s="364" t="s">
        <v>1298</v>
      </c>
      <c r="BQ789" s="364" t="s">
        <v>1298</v>
      </c>
      <c r="BR789" s="364" t="s">
        <v>1298</v>
      </c>
      <c r="BS789" s="250"/>
      <c r="BT789" s="364" t="s">
        <v>1298</v>
      </c>
      <c r="BU789" s="364" t="s">
        <v>1298</v>
      </c>
      <c r="BV789" s="364" t="s">
        <v>1298</v>
      </c>
      <c r="BW789" s="364" t="s">
        <v>1298</v>
      </c>
      <c r="BX789" s="364" t="s">
        <v>1298</v>
      </c>
      <c r="BY789" s="250"/>
    </row>
    <row r="790" spans="3:78" ht="14.25">
      <c r="C790" s="306"/>
      <c r="D790" s="367"/>
      <c r="E790" s="370"/>
      <c r="F790" s="373"/>
      <c r="G790" s="376"/>
      <c r="H790" s="379"/>
      <c r="I790" s="382"/>
      <c r="J790" s="382"/>
      <c r="K790" s="385"/>
      <c r="L790" s="388"/>
      <c r="M790" s="391"/>
      <c r="N790" s="394"/>
      <c r="O790" s="397"/>
      <c r="P790" s="400"/>
      <c r="Q790" s="403"/>
      <c r="R790" s="362"/>
      <c r="S790" s="362"/>
      <c r="T790" s="362"/>
      <c r="U790" s="362"/>
      <c r="V790" s="362"/>
      <c r="W790" s="362"/>
      <c r="X790" s="362"/>
      <c r="Y790" s="362"/>
      <c r="Z790" s="362"/>
      <c r="AA790" s="362"/>
      <c r="AB790" s="362"/>
      <c r="AC790" s="362"/>
      <c r="AD790" s="362"/>
      <c r="AE790" s="193"/>
      <c r="AF790" s="217" t="s">
        <v>268</v>
      </c>
      <c r="AG790" s="158" t="s">
        <v>240</v>
      </c>
      <c r="AH790" s="300" t="s">
        <v>19</v>
      </c>
      <c r="AI790" s="301" t="s">
        <v>154</v>
      </c>
      <c r="AJ790" s="221"/>
      <c r="AK790" s="221"/>
      <c r="AL790" s="221"/>
      <c r="AM790" s="221"/>
      <c r="AN790" s="221"/>
      <c r="AO790" s="221"/>
      <c r="AP790" s="302" t="s">
        <v>19</v>
      </c>
      <c r="AQ790" s="195">
        <f>SUM(AT790,AW790,AZ790,BC790,BF790,BI790,BL790)</f>
        <v>35979.000000000007</v>
      </c>
      <c r="AR790" s="197">
        <f>SUM(AT790,AX790,BA790,BD790,BG790,BJ790,BM790)</f>
        <v>0</v>
      </c>
      <c r="AS790" s="195">
        <f>AQ790-AR790</f>
        <v>35979.000000000007</v>
      </c>
      <c r="AT790" s="312"/>
      <c r="AU790" s="312"/>
      <c r="AV790" s="244"/>
      <c r="AW790" s="159"/>
      <c r="AX790" s="312"/>
      <c r="AY790" s="194">
        <f>AW790-AX790</f>
        <v>0</v>
      </c>
      <c r="AZ790" s="160"/>
      <c r="BA790" s="312"/>
      <c r="BB790" s="194">
        <f>AZ790-BA790</f>
        <v>0</v>
      </c>
      <c r="BC790" s="159">
        <v>35979.000000000007</v>
      </c>
      <c r="BD790" s="312"/>
      <c r="BE790" s="194">
        <f>BC790-BD790</f>
        <v>35979.000000000007</v>
      </c>
      <c r="BF790" s="159"/>
      <c r="BG790" s="244"/>
      <c r="BH790" s="194">
        <f>BF790-BG790</f>
        <v>0</v>
      </c>
      <c r="BI790" s="159"/>
      <c r="BJ790" s="244"/>
      <c r="BK790" s="194">
        <f>BI790-BJ790</f>
        <v>0</v>
      </c>
      <c r="BL790" s="312"/>
      <c r="BM790" s="312"/>
      <c r="BN790" s="195">
        <f>BL790-BM790</f>
        <v>0</v>
      </c>
      <c r="BO790" s="251">
        <v>0</v>
      </c>
      <c r="BP790" s="364"/>
      <c r="BQ790" s="364"/>
      <c r="BR790" s="364"/>
      <c r="BS790" s="249" t="str">
        <f>AG790 &amp; BO790</f>
        <v>Прибыль направляемая на инвестиции0</v>
      </c>
      <c r="BT790" s="364"/>
      <c r="BU790" s="364"/>
      <c r="BV790" s="364"/>
      <c r="BW790" s="364"/>
      <c r="BX790" s="364"/>
      <c r="BY790" s="249" t="str">
        <f>AG790&amp;AH790</f>
        <v>Прибыль направляемая на инвестициинет</v>
      </c>
      <c r="BZ790" s="250"/>
    </row>
    <row r="791" spans="3:78" ht="14.25">
      <c r="C791" s="97"/>
      <c r="D791" s="367"/>
      <c r="E791" s="370"/>
      <c r="F791" s="373"/>
      <c r="G791" s="376"/>
      <c r="H791" s="379"/>
      <c r="I791" s="382"/>
      <c r="J791" s="382"/>
      <c r="K791" s="385"/>
      <c r="L791" s="388"/>
      <c r="M791" s="391"/>
      <c r="N791" s="394"/>
      <c r="O791" s="397"/>
      <c r="P791" s="400"/>
      <c r="Q791" s="403"/>
      <c r="R791" s="362"/>
      <c r="S791" s="362"/>
      <c r="T791" s="362"/>
      <c r="U791" s="362"/>
      <c r="V791" s="362"/>
      <c r="W791" s="362"/>
      <c r="X791" s="362"/>
      <c r="Y791" s="362"/>
      <c r="Z791" s="362"/>
      <c r="AA791" s="362"/>
      <c r="AB791" s="362"/>
      <c r="AC791" s="362"/>
      <c r="AD791" s="362"/>
      <c r="AE791" s="322" t="s">
        <v>1240</v>
      </c>
      <c r="AF791" s="217" t="s">
        <v>118</v>
      </c>
      <c r="AG791" s="196" t="s">
        <v>223</v>
      </c>
      <c r="AH791" s="302" t="s">
        <v>19</v>
      </c>
      <c r="AI791" s="301" t="s">
        <v>154</v>
      </c>
      <c r="AJ791" s="221"/>
      <c r="AK791" s="221"/>
      <c r="AL791" s="221"/>
      <c r="AM791" s="221"/>
      <c r="AN791" s="221"/>
      <c r="AO791" s="221"/>
      <c r="AP791" s="302" t="s">
        <v>19</v>
      </c>
      <c r="AQ791" s="195">
        <f>SUM(AT791,AW791,AZ791,BC791,BF791,BI791,BL791)</f>
        <v>7195.7999999999956</v>
      </c>
      <c r="AR791" s="197">
        <f>SUM(AT791,AX791,BA791,BD791,BG791,BJ791,BM791)</f>
        <v>0</v>
      </c>
      <c r="AS791" s="195">
        <f>AQ791-AR791</f>
        <v>7195.7999999999956</v>
      </c>
      <c r="AT791" s="315"/>
      <c r="AU791" s="315"/>
      <c r="AV791" s="241"/>
      <c r="AW791" s="198"/>
      <c r="AX791" s="313"/>
      <c r="AY791" s="199">
        <f>AW791-AX791</f>
        <v>0</v>
      </c>
      <c r="AZ791" s="173"/>
      <c r="BA791" s="313"/>
      <c r="BB791" s="199">
        <f>AZ791-BA791</f>
        <v>0</v>
      </c>
      <c r="BC791" s="198">
        <f>43174.8-BC790</f>
        <v>7195.7999999999956</v>
      </c>
      <c r="BD791" s="313"/>
      <c r="BE791" s="199">
        <f>BC791-BD791</f>
        <v>7195.7999999999956</v>
      </c>
      <c r="BF791" s="198"/>
      <c r="BG791" s="241"/>
      <c r="BH791" s="199">
        <f>BF791-BG791</f>
        <v>0</v>
      </c>
      <c r="BI791" s="198"/>
      <c r="BJ791" s="241"/>
      <c r="BK791" s="199">
        <f>BI791-BJ791</f>
        <v>0</v>
      </c>
      <c r="BL791" s="313"/>
      <c r="BM791" s="313"/>
      <c r="BN791" s="195">
        <f>BL791-BM791</f>
        <v>0</v>
      </c>
      <c r="BO791" s="251">
        <v>0</v>
      </c>
      <c r="BP791" s="364"/>
      <c r="BQ791" s="364"/>
      <c r="BR791" s="364"/>
      <c r="BS791" s="249" t="str">
        <f>AG791 &amp; BO791</f>
        <v>Прочие собственные средства0</v>
      </c>
      <c r="BT791" s="364"/>
      <c r="BU791" s="364"/>
      <c r="BV791" s="364"/>
      <c r="BW791" s="364"/>
      <c r="BX791" s="364"/>
      <c r="BY791" s="249" t="str">
        <f>AG791&amp;AH791</f>
        <v>Прочие собственные средстванет</v>
      </c>
      <c r="BZ791" s="250"/>
    </row>
    <row r="792" spans="3:78" ht="15" customHeight="1">
      <c r="C792" s="306"/>
      <c r="D792" s="367"/>
      <c r="E792" s="370"/>
      <c r="F792" s="373"/>
      <c r="G792" s="376"/>
      <c r="H792" s="379"/>
      <c r="I792" s="382"/>
      <c r="J792" s="382"/>
      <c r="K792" s="385"/>
      <c r="L792" s="388"/>
      <c r="M792" s="391"/>
      <c r="N792" s="395"/>
      <c r="O792" s="398"/>
      <c r="P792" s="401"/>
      <c r="Q792" s="404"/>
      <c r="R792" s="363"/>
      <c r="S792" s="363"/>
      <c r="T792" s="363"/>
      <c r="U792" s="363"/>
      <c r="V792" s="363"/>
      <c r="W792" s="363"/>
      <c r="X792" s="363"/>
      <c r="Y792" s="363"/>
      <c r="Z792" s="363"/>
      <c r="AA792" s="363"/>
      <c r="AB792" s="363"/>
      <c r="AC792" s="363"/>
      <c r="AD792" s="363"/>
      <c r="AE792" s="279" t="s">
        <v>379</v>
      </c>
      <c r="AF792" s="203"/>
      <c r="AG792" s="223" t="s">
        <v>24</v>
      </c>
      <c r="AH792" s="223"/>
      <c r="AI792" s="223"/>
      <c r="AJ792" s="223"/>
      <c r="AK792" s="223"/>
      <c r="AL792" s="223"/>
      <c r="AM792" s="223"/>
      <c r="AN792" s="223"/>
      <c r="AO792" s="223"/>
      <c r="AP792" s="168"/>
      <c r="AQ792" s="169"/>
      <c r="AR792" s="169"/>
      <c r="AS792" s="169"/>
      <c r="AT792" s="169"/>
      <c r="AU792" s="169"/>
      <c r="AV792" s="169"/>
      <c r="AW792" s="169"/>
      <c r="AX792" s="169"/>
      <c r="AY792" s="169"/>
      <c r="AZ792" s="169"/>
      <c r="BA792" s="169"/>
      <c r="BB792" s="169"/>
      <c r="BC792" s="169"/>
      <c r="BD792" s="169"/>
      <c r="BE792" s="169"/>
      <c r="BF792" s="169"/>
      <c r="BG792" s="169"/>
      <c r="BH792" s="169"/>
      <c r="BI792" s="169"/>
      <c r="BJ792" s="169"/>
      <c r="BK792" s="169"/>
      <c r="BL792" s="169"/>
      <c r="BM792" s="169"/>
      <c r="BN792" s="170"/>
      <c r="BO792" s="251"/>
      <c r="BP792" s="364"/>
      <c r="BQ792" s="364"/>
      <c r="BR792" s="364"/>
      <c r="BS792" s="250"/>
      <c r="BT792" s="364"/>
      <c r="BU792" s="364"/>
      <c r="BV792" s="364"/>
      <c r="BW792" s="364"/>
      <c r="BX792" s="364"/>
      <c r="BY792" s="250"/>
    </row>
    <row r="793" spans="3:78" ht="15" customHeight="1" thickBot="1">
      <c r="C793" s="307"/>
      <c r="D793" s="368"/>
      <c r="E793" s="371"/>
      <c r="F793" s="374"/>
      <c r="G793" s="377"/>
      <c r="H793" s="380"/>
      <c r="I793" s="383"/>
      <c r="J793" s="383"/>
      <c r="K793" s="386"/>
      <c r="L793" s="389"/>
      <c r="M793" s="392"/>
      <c r="N793" s="280" t="s">
        <v>380</v>
      </c>
      <c r="O793" s="212"/>
      <c r="P793" s="365" t="s">
        <v>154</v>
      </c>
      <c r="Q793" s="365"/>
      <c r="R793" s="171"/>
      <c r="S793" s="171"/>
      <c r="T793" s="166"/>
      <c r="U793" s="166"/>
      <c r="V793" s="166"/>
      <c r="W793" s="166"/>
      <c r="X793" s="166"/>
      <c r="Y793" s="166"/>
      <c r="Z793" s="166"/>
      <c r="AA793" s="166"/>
      <c r="AB793" s="166"/>
      <c r="AC793" s="166"/>
      <c r="AD793" s="166"/>
      <c r="AE793" s="166"/>
      <c r="AF793" s="166"/>
      <c r="AG793" s="166"/>
      <c r="AH793" s="166"/>
      <c r="AI793" s="166"/>
      <c r="AJ793" s="166"/>
      <c r="AK793" s="166"/>
      <c r="AL793" s="166"/>
      <c r="AM793" s="166"/>
      <c r="AN793" s="166"/>
      <c r="AO793" s="166"/>
      <c r="AP793" s="166"/>
      <c r="AQ793" s="166"/>
      <c r="AR793" s="166"/>
      <c r="AS793" s="166"/>
      <c r="AT793" s="166"/>
      <c r="AU793" s="166"/>
      <c r="AV793" s="166"/>
      <c r="AW793" s="166"/>
      <c r="AX793" s="166"/>
      <c r="AY793" s="166"/>
      <c r="AZ793" s="166"/>
      <c r="BA793" s="166"/>
      <c r="BB793" s="166"/>
      <c r="BC793" s="166"/>
      <c r="BD793" s="166"/>
      <c r="BE793" s="166"/>
      <c r="BF793" s="166"/>
      <c r="BG793" s="166"/>
      <c r="BH793" s="166"/>
      <c r="BI793" s="166"/>
      <c r="BJ793" s="166"/>
      <c r="BK793" s="166"/>
      <c r="BL793" s="166"/>
      <c r="BM793" s="166"/>
      <c r="BN793" s="167"/>
      <c r="BO793" s="251"/>
      <c r="BP793" s="250"/>
      <c r="BQ793" s="250"/>
      <c r="BR793" s="250"/>
      <c r="BS793" s="250"/>
      <c r="BT793" s="250"/>
      <c r="BU793" s="250"/>
      <c r="BY793" s="250"/>
    </row>
    <row r="794" spans="3:78" ht="11.25" customHeight="1">
      <c r="C794" s="97" t="s">
        <v>1240</v>
      </c>
      <c r="D794" s="366" t="s">
        <v>1440</v>
      </c>
      <c r="E794" s="369" t="s">
        <v>216</v>
      </c>
      <c r="F794" s="372" t="s">
        <v>154</v>
      </c>
      <c r="G794" s="375" t="s">
        <v>1461</v>
      </c>
      <c r="H794" s="378" t="s">
        <v>715</v>
      </c>
      <c r="I794" s="381" t="s">
        <v>715</v>
      </c>
      <c r="J794" s="381" t="s">
        <v>716</v>
      </c>
      <c r="K794" s="384">
        <v>1</v>
      </c>
      <c r="L794" s="387" t="s">
        <v>3</v>
      </c>
      <c r="M794" s="390">
        <v>0</v>
      </c>
      <c r="N794" s="163"/>
      <c r="O794" s="161"/>
      <c r="P794" s="161"/>
      <c r="Q794" s="161"/>
      <c r="R794" s="161"/>
      <c r="S794" s="161"/>
      <c r="T794" s="161"/>
      <c r="U794" s="161"/>
      <c r="V794" s="161"/>
      <c r="W794" s="161"/>
      <c r="X794" s="161"/>
      <c r="Y794" s="161"/>
      <c r="Z794" s="161"/>
      <c r="AA794" s="161"/>
      <c r="AB794" s="161"/>
      <c r="AC794" s="161"/>
      <c r="AD794" s="161"/>
      <c r="AE794" s="161"/>
      <c r="AF794" s="161"/>
      <c r="AG794" s="161"/>
      <c r="AH794" s="161"/>
      <c r="AI794" s="161"/>
      <c r="AJ794" s="161"/>
      <c r="AK794" s="161"/>
      <c r="AL794" s="161"/>
      <c r="AM794" s="161"/>
      <c r="AN794" s="161"/>
      <c r="AO794" s="161"/>
      <c r="AP794" s="161"/>
      <c r="AQ794" s="161"/>
      <c r="AR794" s="161"/>
      <c r="AS794" s="161"/>
      <c r="AT794" s="161"/>
      <c r="AU794" s="161"/>
      <c r="AV794" s="161"/>
      <c r="AW794" s="161"/>
      <c r="AX794" s="161"/>
      <c r="AY794" s="161"/>
      <c r="AZ794" s="161"/>
      <c r="BA794" s="161"/>
      <c r="BB794" s="161"/>
      <c r="BC794" s="161"/>
      <c r="BD794" s="161"/>
      <c r="BE794" s="161"/>
      <c r="BF794" s="161"/>
      <c r="BG794" s="161"/>
      <c r="BH794" s="161"/>
      <c r="BI794" s="161"/>
      <c r="BJ794" s="161"/>
      <c r="BK794" s="161"/>
      <c r="BL794" s="161"/>
      <c r="BM794" s="161"/>
      <c r="BN794" s="162"/>
      <c r="BO794" s="251"/>
      <c r="BP794" s="250"/>
      <c r="BQ794" s="250"/>
      <c r="BR794" s="250"/>
      <c r="BS794" s="250"/>
      <c r="BT794" s="250"/>
      <c r="BU794" s="250"/>
      <c r="BY794" s="250"/>
    </row>
    <row r="795" spans="3:78" ht="11.25" customHeight="1">
      <c r="C795" s="306"/>
      <c r="D795" s="367"/>
      <c r="E795" s="370"/>
      <c r="F795" s="373"/>
      <c r="G795" s="376"/>
      <c r="H795" s="379"/>
      <c r="I795" s="382"/>
      <c r="J795" s="382"/>
      <c r="K795" s="385"/>
      <c r="L795" s="388"/>
      <c r="M795" s="391"/>
      <c r="N795" s="393"/>
      <c r="O795" s="396">
        <v>1</v>
      </c>
      <c r="P795" s="399" t="s">
        <v>1297</v>
      </c>
      <c r="Q795" s="402"/>
      <c r="R795" s="361" t="s">
        <v>154</v>
      </c>
      <c r="S795" s="361" t="s">
        <v>154</v>
      </c>
      <c r="T795" s="361" t="s">
        <v>154</v>
      </c>
      <c r="U795" s="361" t="s">
        <v>154</v>
      </c>
      <c r="V795" s="361" t="s">
        <v>154</v>
      </c>
      <c r="W795" s="361" t="s">
        <v>154</v>
      </c>
      <c r="X795" s="361" t="s">
        <v>154</v>
      </c>
      <c r="Y795" s="361" t="s">
        <v>154</v>
      </c>
      <c r="Z795" s="361" t="s">
        <v>154</v>
      </c>
      <c r="AA795" s="361" t="s">
        <v>154</v>
      </c>
      <c r="AB795" s="361" t="s">
        <v>154</v>
      </c>
      <c r="AC795" s="361" t="s">
        <v>154</v>
      </c>
      <c r="AD795" s="361" t="s">
        <v>154</v>
      </c>
      <c r="AE795" s="209"/>
      <c r="AF795" s="220">
        <v>0</v>
      </c>
      <c r="AG795" s="219" t="s">
        <v>308</v>
      </c>
      <c r="AH795" s="219"/>
      <c r="AI795" s="219"/>
      <c r="AJ795" s="219"/>
      <c r="AK795" s="219"/>
      <c r="AL795" s="219"/>
      <c r="AM795" s="219"/>
      <c r="AN795" s="219"/>
      <c r="AO795" s="219"/>
      <c r="AP795" s="164"/>
      <c r="AQ795" s="164"/>
      <c r="AR795" s="164"/>
      <c r="AS795" s="164"/>
      <c r="AT795" s="164"/>
      <c r="AU795" s="164"/>
      <c r="AV795" s="164"/>
      <c r="AW795" s="164"/>
      <c r="AX795" s="164"/>
      <c r="AY795" s="164"/>
      <c r="AZ795" s="164"/>
      <c r="BA795" s="164"/>
      <c r="BB795" s="164"/>
      <c r="BC795" s="164"/>
      <c r="BD795" s="164"/>
      <c r="BE795" s="164"/>
      <c r="BF795" s="164"/>
      <c r="BG795" s="164"/>
      <c r="BH795" s="164"/>
      <c r="BI795" s="164"/>
      <c r="BJ795" s="164"/>
      <c r="BK795" s="164"/>
      <c r="BL795" s="164"/>
      <c r="BM795" s="164"/>
      <c r="BN795" s="165"/>
      <c r="BO795" s="251"/>
      <c r="BP795" s="364" t="s">
        <v>1298</v>
      </c>
      <c r="BQ795" s="364" t="s">
        <v>1298</v>
      </c>
      <c r="BR795" s="364" t="s">
        <v>1298</v>
      </c>
      <c r="BS795" s="250"/>
      <c r="BT795" s="364" t="s">
        <v>1298</v>
      </c>
      <c r="BU795" s="364" t="s">
        <v>1298</v>
      </c>
      <c r="BV795" s="364" t="s">
        <v>1298</v>
      </c>
      <c r="BW795" s="364" t="s">
        <v>1298</v>
      </c>
      <c r="BX795" s="364" t="s">
        <v>1298</v>
      </c>
      <c r="BY795" s="250"/>
    </row>
    <row r="796" spans="3:78" ht="14.25">
      <c r="C796" s="306"/>
      <c r="D796" s="367"/>
      <c r="E796" s="370"/>
      <c r="F796" s="373"/>
      <c r="G796" s="376"/>
      <c r="H796" s="379"/>
      <c r="I796" s="382"/>
      <c r="J796" s="382"/>
      <c r="K796" s="385"/>
      <c r="L796" s="388"/>
      <c r="M796" s="391"/>
      <c r="N796" s="394"/>
      <c r="O796" s="397"/>
      <c r="P796" s="400"/>
      <c r="Q796" s="403"/>
      <c r="R796" s="362"/>
      <c r="S796" s="362"/>
      <c r="T796" s="362"/>
      <c r="U796" s="362"/>
      <c r="V796" s="362"/>
      <c r="W796" s="362"/>
      <c r="X796" s="362"/>
      <c r="Y796" s="362"/>
      <c r="Z796" s="362"/>
      <c r="AA796" s="362"/>
      <c r="AB796" s="362"/>
      <c r="AC796" s="362"/>
      <c r="AD796" s="362"/>
      <c r="AE796" s="193"/>
      <c r="AF796" s="217" t="s">
        <v>268</v>
      </c>
      <c r="AG796" s="158" t="s">
        <v>240</v>
      </c>
      <c r="AH796" s="300" t="s">
        <v>19</v>
      </c>
      <c r="AI796" s="301" t="s">
        <v>154</v>
      </c>
      <c r="AJ796" s="221"/>
      <c r="AK796" s="221"/>
      <c r="AL796" s="221"/>
      <c r="AM796" s="221"/>
      <c r="AN796" s="221"/>
      <c r="AO796" s="221"/>
      <c r="AP796" s="302" t="s">
        <v>19</v>
      </c>
      <c r="AQ796" s="195">
        <f>SUM(AT796,AW796,AZ796,BC796,BF796,BI796,BL796)</f>
        <v>6173.5938536700751</v>
      </c>
      <c r="AR796" s="197">
        <f>SUM(AT796,AX796,BA796,BD796,BG796,BJ796,BM796)</f>
        <v>0</v>
      </c>
      <c r="AS796" s="195">
        <f>AQ796-AR796</f>
        <v>6173.5938536700751</v>
      </c>
      <c r="AT796" s="312"/>
      <c r="AU796" s="312"/>
      <c r="AV796" s="244"/>
      <c r="AW796" s="159">
        <v>6173.5938536700751</v>
      </c>
      <c r="AX796" s="312"/>
      <c r="AY796" s="194">
        <f>AW796-AX796</f>
        <v>6173.5938536700751</v>
      </c>
      <c r="AZ796" s="160"/>
      <c r="BA796" s="312"/>
      <c r="BB796" s="194">
        <f>AZ796-BA796</f>
        <v>0</v>
      </c>
      <c r="BC796" s="159"/>
      <c r="BD796" s="312"/>
      <c r="BE796" s="194">
        <f>BC796-BD796</f>
        <v>0</v>
      </c>
      <c r="BF796" s="159"/>
      <c r="BG796" s="244"/>
      <c r="BH796" s="194">
        <f>BF796-BG796</f>
        <v>0</v>
      </c>
      <c r="BI796" s="159"/>
      <c r="BJ796" s="244"/>
      <c r="BK796" s="194">
        <f>BI796-BJ796</f>
        <v>0</v>
      </c>
      <c r="BL796" s="312"/>
      <c r="BM796" s="312"/>
      <c r="BN796" s="195">
        <f>BL796-BM796</f>
        <v>0</v>
      </c>
      <c r="BO796" s="251">
        <v>0</v>
      </c>
      <c r="BP796" s="364"/>
      <c r="BQ796" s="364"/>
      <c r="BR796" s="364"/>
      <c r="BS796" s="249" t="str">
        <f>AG796 &amp; BO796</f>
        <v>Прибыль направляемая на инвестиции0</v>
      </c>
      <c r="BT796" s="364"/>
      <c r="BU796" s="364"/>
      <c r="BV796" s="364"/>
      <c r="BW796" s="364"/>
      <c r="BX796" s="364"/>
      <c r="BY796" s="249" t="str">
        <f>AG796&amp;AH796</f>
        <v>Прибыль направляемая на инвестициинет</v>
      </c>
      <c r="BZ796" s="250"/>
    </row>
    <row r="797" spans="3:78" ht="14.25">
      <c r="C797" s="97"/>
      <c r="D797" s="367"/>
      <c r="E797" s="370"/>
      <c r="F797" s="373"/>
      <c r="G797" s="376"/>
      <c r="H797" s="379"/>
      <c r="I797" s="382"/>
      <c r="J797" s="382"/>
      <c r="K797" s="385"/>
      <c r="L797" s="388"/>
      <c r="M797" s="391"/>
      <c r="N797" s="394"/>
      <c r="O797" s="397"/>
      <c r="P797" s="400"/>
      <c r="Q797" s="403"/>
      <c r="R797" s="362"/>
      <c r="S797" s="362"/>
      <c r="T797" s="362"/>
      <c r="U797" s="362"/>
      <c r="V797" s="362"/>
      <c r="W797" s="362"/>
      <c r="X797" s="362"/>
      <c r="Y797" s="362"/>
      <c r="Z797" s="362"/>
      <c r="AA797" s="362"/>
      <c r="AB797" s="362"/>
      <c r="AC797" s="362"/>
      <c r="AD797" s="362"/>
      <c r="AE797" s="322" t="s">
        <v>1240</v>
      </c>
      <c r="AF797" s="217" t="s">
        <v>118</v>
      </c>
      <c r="AG797" s="196" t="s">
        <v>223</v>
      </c>
      <c r="AH797" s="302" t="s">
        <v>19</v>
      </c>
      <c r="AI797" s="301" t="s">
        <v>154</v>
      </c>
      <c r="AJ797" s="221"/>
      <c r="AK797" s="221"/>
      <c r="AL797" s="221"/>
      <c r="AM797" s="221"/>
      <c r="AN797" s="221"/>
      <c r="AO797" s="221"/>
      <c r="AP797" s="302" t="s">
        <v>19</v>
      </c>
      <c r="AQ797" s="195">
        <f>SUM(AT797,AW797,AZ797,BC797,BF797,BI797,BL797)</f>
        <v>1234.7187707340145</v>
      </c>
      <c r="AR797" s="197">
        <f>SUM(AT797,AX797,BA797,BD797,BG797,BJ797,BM797)</f>
        <v>0</v>
      </c>
      <c r="AS797" s="195">
        <f>AQ797-AR797</f>
        <v>1234.7187707340145</v>
      </c>
      <c r="AT797" s="315"/>
      <c r="AU797" s="315"/>
      <c r="AV797" s="241"/>
      <c r="AW797" s="198">
        <f>7408.31262440409-AW796</f>
        <v>1234.7187707340145</v>
      </c>
      <c r="AX797" s="313"/>
      <c r="AY797" s="199">
        <f>AW797-AX797</f>
        <v>1234.7187707340145</v>
      </c>
      <c r="AZ797" s="173"/>
      <c r="BA797" s="313"/>
      <c r="BB797" s="199">
        <f>AZ797-BA797</f>
        <v>0</v>
      </c>
      <c r="BC797" s="198"/>
      <c r="BD797" s="313"/>
      <c r="BE797" s="199">
        <f>BC797-BD797</f>
        <v>0</v>
      </c>
      <c r="BF797" s="198"/>
      <c r="BG797" s="241"/>
      <c r="BH797" s="199">
        <f>BF797-BG797</f>
        <v>0</v>
      </c>
      <c r="BI797" s="198"/>
      <c r="BJ797" s="241"/>
      <c r="BK797" s="199">
        <f>BI797-BJ797</f>
        <v>0</v>
      </c>
      <c r="BL797" s="313"/>
      <c r="BM797" s="313"/>
      <c r="BN797" s="195">
        <f>BL797-BM797</f>
        <v>0</v>
      </c>
      <c r="BO797" s="251">
        <v>0</v>
      </c>
      <c r="BP797" s="364"/>
      <c r="BQ797" s="364"/>
      <c r="BR797" s="364"/>
      <c r="BS797" s="249" t="str">
        <f>AG797 &amp; BO797</f>
        <v>Прочие собственные средства0</v>
      </c>
      <c r="BT797" s="364"/>
      <c r="BU797" s="364"/>
      <c r="BV797" s="364"/>
      <c r="BW797" s="364"/>
      <c r="BX797" s="364"/>
      <c r="BY797" s="249" t="str">
        <f>AG797&amp;AH797</f>
        <v>Прочие собственные средстванет</v>
      </c>
      <c r="BZ797" s="250"/>
    </row>
    <row r="798" spans="3:78" ht="15" customHeight="1">
      <c r="C798" s="306"/>
      <c r="D798" s="367"/>
      <c r="E798" s="370"/>
      <c r="F798" s="373"/>
      <c r="G798" s="376"/>
      <c r="H798" s="379"/>
      <c r="I798" s="382"/>
      <c r="J798" s="382"/>
      <c r="K798" s="385"/>
      <c r="L798" s="388"/>
      <c r="M798" s="391"/>
      <c r="N798" s="395"/>
      <c r="O798" s="398"/>
      <c r="P798" s="401"/>
      <c r="Q798" s="404"/>
      <c r="R798" s="363"/>
      <c r="S798" s="363"/>
      <c r="T798" s="363"/>
      <c r="U798" s="363"/>
      <c r="V798" s="363"/>
      <c r="W798" s="363"/>
      <c r="X798" s="363"/>
      <c r="Y798" s="363"/>
      <c r="Z798" s="363"/>
      <c r="AA798" s="363"/>
      <c r="AB798" s="363"/>
      <c r="AC798" s="363"/>
      <c r="AD798" s="363"/>
      <c r="AE798" s="279" t="s">
        <v>379</v>
      </c>
      <c r="AF798" s="203"/>
      <c r="AG798" s="223" t="s">
        <v>24</v>
      </c>
      <c r="AH798" s="223"/>
      <c r="AI798" s="223"/>
      <c r="AJ798" s="223"/>
      <c r="AK798" s="223"/>
      <c r="AL798" s="223"/>
      <c r="AM798" s="223"/>
      <c r="AN798" s="223"/>
      <c r="AO798" s="223"/>
      <c r="AP798" s="168"/>
      <c r="AQ798" s="169"/>
      <c r="AR798" s="169"/>
      <c r="AS798" s="169"/>
      <c r="AT798" s="169"/>
      <c r="AU798" s="169"/>
      <c r="AV798" s="169"/>
      <c r="AW798" s="169"/>
      <c r="AX798" s="169"/>
      <c r="AY798" s="169"/>
      <c r="AZ798" s="169"/>
      <c r="BA798" s="169"/>
      <c r="BB798" s="169"/>
      <c r="BC798" s="169"/>
      <c r="BD798" s="169"/>
      <c r="BE798" s="169"/>
      <c r="BF798" s="169"/>
      <c r="BG798" s="169"/>
      <c r="BH798" s="169"/>
      <c r="BI798" s="169"/>
      <c r="BJ798" s="169"/>
      <c r="BK798" s="169"/>
      <c r="BL798" s="169"/>
      <c r="BM798" s="169"/>
      <c r="BN798" s="170"/>
      <c r="BO798" s="251"/>
      <c r="BP798" s="364"/>
      <c r="BQ798" s="364"/>
      <c r="BR798" s="364"/>
      <c r="BS798" s="250"/>
      <c r="BT798" s="364"/>
      <c r="BU798" s="364"/>
      <c r="BV798" s="364"/>
      <c r="BW798" s="364"/>
      <c r="BX798" s="364"/>
      <c r="BY798" s="250"/>
    </row>
    <row r="799" spans="3:78" ht="15" customHeight="1" thickBot="1">
      <c r="C799" s="307"/>
      <c r="D799" s="368"/>
      <c r="E799" s="371"/>
      <c r="F799" s="374"/>
      <c r="G799" s="377"/>
      <c r="H799" s="380"/>
      <c r="I799" s="383"/>
      <c r="J799" s="383"/>
      <c r="K799" s="386"/>
      <c r="L799" s="389"/>
      <c r="M799" s="392"/>
      <c r="N799" s="280" t="s">
        <v>380</v>
      </c>
      <c r="O799" s="212"/>
      <c r="P799" s="365" t="s">
        <v>154</v>
      </c>
      <c r="Q799" s="365"/>
      <c r="R799" s="171"/>
      <c r="S799" s="171"/>
      <c r="T799" s="166"/>
      <c r="U799" s="166"/>
      <c r="V799" s="166"/>
      <c r="W799" s="166"/>
      <c r="X799" s="166"/>
      <c r="Y799" s="166"/>
      <c r="Z799" s="166"/>
      <c r="AA799" s="166"/>
      <c r="AB799" s="166"/>
      <c r="AC799" s="166"/>
      <c r="AD799" s="166"/>
      <c r="AE799" s="166"/>
      <c r="AF799" s="166"/>
      <c r="AG799" s="166"/>
      <c r="AH799" s="166"/>
      <c r="AI799" s="166"/>
      <c r="AJ799" s="166"/>
      <c r="AK799" s="166"/>
      <c r="AL799" s="166"/>
      <c r="AM799" s="166"/>
      <c r="AN799" s="166"/>
      <c r="AO799" s="166"/>
      <c r="AP799" s="166"/>
      <c r="AQ799" s="166"/>
      <c r="AR799" s="166"/>
      <c r="AS799" s="166"/>
      <c r="AT799" s="166"/>
      <c r="AU799" s="166"/>
      <c r="AV799" s="166"/>
      <c r="AW799" s="166"/>
      <c r="AX799" s="166"/>
      <c r="AY799" s="166"/>
      <c r="AZ799" s="166"/>
      <c r="BA799" s="166"/>
      <c r="BB799" s="166"/>
      <c r="BC799" s="166"/>
      <c r="BD799" s="166"/>
      <c r="BE799" s="166"/>
      <c r="BF799" s="166"/>
      <c r="BG799" s="166"/>
      <c r="BH799" s="166"/>
      <c r="BI799" s="166"/>
      <c r="BJ799" s="166"/>
      <c r="BK799" s="166"/>
      <c r="BL799" s="166"/>
      <c r="BM799" s="166"/>
      <c r="BN799" s="167"/>
      <c r="BO799" s="251"/>
      <c r="BP799" s="250"/>
      <c r="BQ799" s="250"/>
      <c r="BR799" s="250"/>
      <c r="BS799" s="250"/>
      <c r="BT799" s="250"/>
      <c r="BU799" s="250"/>
      <c r="BY799" s="250"/>
    </row>
    <row r="800" spans="3:78" ht="11.25" customHeight="1">
      <c r="C800" s="97" t="s">
        <v>1240</v>
      </c>
      <c r="D800" s="366" t="s">
        <v>1441</v>
      </c>
      <c r="E800" s="369" t="s">
        <v>216</v>
      </c>
      <c r="F800" s="372" t="s">
        <v>154</v>
      </c>
      <c r="G800" s="375" t="s">
        <v>1462</v>
      </c>
      <c r="H800" s="378" t="s">
        <v>715</v>
      </c>
      <c r="I800" s="381" t="s">
        <v>715</v>
      </c>
      <c r="J800" s="381" t="s">
        <v>716</v>
      </c>
      <c r="K800" s="384">
        <v>1</v>
      </c>
      <c r="L800" s="387" t="s">
        <v>3</v>
      </c>
      <c r="M800" s="390">
        <v>0</v>
      </c>
      <c r="N800" s="163"/>
      <c r="O800" s="161"/>
      <c r="P800" s="161"/>
      <c r="Q800" s="161"/>
      <c r="R800" s="161"/>
      <c r="S800" s="161"/>
      <c r="T800" s="161"/>
      <c r="U800" s="161"/>
      <c r="V800" s="161"/>
      <c r="W800" s="161"/>
      <c r="X800" s="161"/>
      <c r="Y800" s="161"/>
      <c r="Z800" s="161"/>
      <c r="AA800" s="161"/>
      <c r="AB800" s="161"/>
      <c r="AC800" s="161"/>
      <c r="AD800" s="161"/>
      <c r="AE800" s="161"/>
      <c r="AF800" s="161"/>
      <c r="AG800" s="161"/>
      <c r="AH800" s="161"/>
      <c r="AI800" s="161"/>
      <c r="AJ800" s="161"/>
      <c r="AK800" s="161"/>
      <c r="AL800" s="161"/>
      <c r="AM800" s="161"/>
      <c r="AN800" s="161"/>
      <c r="AO800" s="161"/>
      <c r="AP800" s="161"/>
      <c r="AQ800" s="161"/>
      <c r="AR800" s="161"/>
      <c r="AS800" s="161"/>
      <c r="AT800" s="161"/>
      <c r="AU800" s="161"/>
      <c r="AV800" s="161"/>
      <c r="AW800" s="161"/>
      <c r="AX800" s="161"/>
      <c r="AY800" s="161"/>
      <c r="AZ800" s="161"/>
      <c r="BA800" s="161"/>
      <c r="BB800" s="161"/>
      <c r="BC800" s="161"/>
      <c r="BD800" s="161"/>
      <c r="BE800" s="161"/>
      <c r="BF800" s="161"/>
      <c r="BG800" s="161"/>
      <c r="BH800" s="161"/>
      <c r="BI800" s="161"/>
      <c r="BJ800" s="161"/>
      <c r="BK800" s="161"/>
      <c r="BL800" s="161"/>
      <c r="BM800" s="161"/>
      <c r="BN800" s="162"/>
      <c r="BO800" s="251"/>
      <c r="BP800" s="250"/>
      <c r="BQ800" s="250"/>
      <c r="BR800" s="250"/>
      <c r="BS800" s="250"/>
      <c r="BT800" s="250"/>
      <c r="BU800" s="250"/>
      <c r="BY800" s="250"/>
    </row>
    <row r="801" spans="3:78" ht="11.25" customHeight="1">
      <c r="C801" s="306"/>
      <c r="D801" s="367"/>
      <c r="E801" s="370"/>
      <c r="F801" s="373"/>
      <c r="G801" s="376"/>
      <c r="H801" s="379"/>
      <c r="I801" s="382"/>
      <c r="J801" s="382"/>
      <c r="K801" s="385"/>
      <c r="L801" s="388"/>
      <c r="M801" s="391"/>
      <c r="N801" s="393"/>
      <c r="O801" s="396">
        <v>1</v>
      </c>
      <c r="P801" s="399" t="s">
        <v>1297</v>
      </c>
      <c r="Q801" s="402"/>
      <c r="R801" s="361" t="s">
        <v>154</v>
      </c>
      <c r="S801" s="361" t="s">
        <v>154</v>
      </c>
      <c r="T801" s="361" t="s">
        <v>154</v>
      </c>
      <c r="U801" s="361" t="s">
        <v>154</v>
      </c>
      <c r="V801" s="361" t="s">
        <v>154</v>
      </c>
      <c r="W801" s="361" t="s">
        <v>154</v>
      </c>
      <c r="X801" s="361" t="s">
        <v>154</v>
      </c>
      <c r="Y801" s="361" t="s">
        <v>154</v>
      </c>
      <c r="Z801" s="361" t="s">
        <v>154</v>
      </c>
      <c r="AA801" s="361" t="s">
        <v>154</v>
      </c>
      <c r="AB801" s="361" t="s">
        <v>154</v>
      </c>
      <c r="AC801" s="361" t="s">
        <v>154</v>
      </c>
      <c r="AD801" s="361" t="s">
        <v>154</v>
      </c>
      <c r="AE801" s="209"/>
      <c r="AF801" s="220">
        <v>0</v>
      </c>
      <c r="AG801" s="219" t="s">
        <v>308</v>
      </c>
      <c r="AH801" s="219"/>
      <c r="AI801" s="219"/>
      <c r="AJ801" s="219"/>
      <c r="AK801" s="219"/>
      <c r="AL801" s="219"/>
      <c r="AM801" s="219"/>
      <c r="AN801" s="219"/>
      <c r="AO801" s="219"/>
      <c r="AP801" s="164"/>
      <c r="AQ801" s="164"/>
      <c r="AR801" s="164"/>
      <c r="AS801" s="164"/>
      <c r="AT801" s="164"/>
      <c r="AU801" s="164"/>
      <c r="AV801" s="164"/>
      <c r="AW801" s="164"/>
      <c r="AX801" s="164"/>
      <c r="AY801" s="164"/>
      <c r="AZ801" s="164"/>
      <c r="BA801" s="164"/>
      <c r="BB801" s="164"/>
      <c r="BC801" s="164"/>
      <c r="BD801" s="164"/>
      <c r="BE801" s="164"/>
      <c r="BF801" s="164"/>
      <c r="BG801" s="164"/>
      <c r="BH801" s="164"/>
      <c r="BI801" s="164"/>
      <c r="BJ801" s="164"/>
      <c r="BK801" s="164"/>
      <c r="BL801" s="164"/>
      <c r="BM801" s="164"/>
      <c r="BN801" s="165"/>
      <c r="BO801" s="251"/>
      <c r="BP801" s="364" t="s">
        <v>1298</v>
      </c>
      <c r="BQ801" s="364" t="s">
        <v>1298</v>
      </c>
      <c r="BR801" s="364" t="s">
        <v>1298</v>
      </c>
      <c r="BS801" s="250"/>
      <c r="BT801" s="364" t="s">
        <v>1298</v>
      </c>
      <c r="BU801" s="364" t="s">
        <v>1298</v>
      </c>
      <c r="BV801" s="364" t="s">
        <v>1298</v>
      </c>
      <c r="BW801" s="364" t="s">
        <v>1298</v>
      </c>
      <c r="BX801" s="364" t="s">
        <v>1298</v>
      </c>
      <c r="BY801" s="250"/>
    </row>
    <row r="802" spans="3:78" ht="14.25">
      <c r="C802" s="306"/>
      <c r="D802" s="367"/>
      <c r="E802" s="370"/>
      <c r="F802" s="373"/>
      <c r="G802" s="376"/>
      <c r="H802" s="379"/>
      <c r="I802" s="382"/>
      <c r="J802" s="382"/>
      <c r="K802" s="385"/>
      <c r="L802" s="388"/>
      <c r="M802" s="391"/>
      <c r="N802" s="394"/>
      <c r="O802" s="397"/>
      <c r="P802" s="400"/>
      <c r="Q802" s="403"/>
      <c r="R802" s="362"/>
      <c r="S802" s="362"/>
      <c r="T802" s="362"/>
      <c r="U802" s="362"/>
      <c r="V802" s="362"/>
      <c r="W802" s="362"/>
      <c r="X802" s="362"/>
      <c r="Y802" s="362"/>
      <c r="Z802" s="362"/>
      <c r="AA802" s="362"/>
      <c r="AB802" s="362"/>
      <c r="AC802" s="362"/>
      <c r="AD802" s="362"/>
      <c r="AE802" s="193"/>
      <c r="AF802" s="217" t="s">
        <v>268</v>
      </c>
      <c r="AG802" s="158" t="s">
        <v>240</v>
      </c>
      <c r="AH802" s="300" t="s">
        <v>19</v>
      </c>
      <c r="AI802" s="301" t="s">
        <v>154</v>
      </c>
      <c r="AJ802" s="221"/>
      <c r="AK802" s="221"/>
      <c r="AL802" s="221"/>
      <c r="AM802" s="221"/>
      <c r="AN802" s="221"/>
      <c r="AO802" s="221"/>
      <c r="AP802" s="302" t="s">
        <v>19</v>
      </c>
      <c r="AQ802" s="195">
        <f>SUM(AT802,AW802,AZ802,BC802,BF802,BI802,BL802)</f>
        <v>8783.6334049031666</v>
      </c>
      <c r="AR802" s="197">
        <f>SUM(AT802,AX802,BA802,BD802,BG802,BJ802,BM802)</f>
        <v>0</v>
      </c>
      <c r="AS802" s="195">
        <f>AQ802-AR802</f>
        <v>8783.6334049031666</v>
      </c>
      <c r="AT802" s="312"/>
      <c r="AU802" s="312"/>
      <c r="AV802" s="244"/>
      <c r="AW802" s="159">
        <v>8783.6334049031666</v>
      </c>
      <c r="AX802" s="312"/>
      <c r="AY802" s="194">
        <f>AW802-AX802</f>
        <v>8783.6334049031666</v>
      </c>
      <c r="AZ802" s="160"/>
      <c r="BA802" s="312"/>
      <c r="BB802" s="194">
        <f>AZ802-BA802</f>
        <v>0</v>
      </c>
      <c r="BC802" s="159"/>
      <c r="BD802" s="312"/>
      <c r="BE802" s="194">
        <f>BC802-BD802</f>
        <v>0</v>
      </c>
      <c r="BF802" s="159"/>
      <c r="BG802" s="244"/>
      <c r="BH802" s="194">
        <f>BF802-BG802</f>
        <v>0</v>
      </c>
      <c r="BI802" s="159"/>
      <c r="BJ802" s="244"/>
      <c r="BK802" s="194">
        <f>BI802-BJ802</f>
        <v>0</v>
      </c>
      <c r="BL802" s="312"/>
      <c r="BM802" s="312"/>
      <c r="BN802" s="195">
        <f>BL802-BM802</f>
        <v>0</v>
      </c>
      <c r="BO802" s="251">
        <v>0</v>
      </c>
      <c r="BP802" s="364"/>
      <c r="BQ802" s="364"/>
      <c r="BR802" s="364"/>
      <c r="BS802" s="249" t="str">
        <f>AG802 &amp; BO802</f>
        <v>Прибыль направляемая на инвестиции0</v>
      </c>
      <c r="BT802" s="364"/>
      <c r="BU802" s="364"/>
      <c r="BV802" s="364"/>
      <c r="BW802" s="364"/>
      <c r="BX802" s="364"/>
      <c r="BY802" s="249" t="str">
        <f>AG802&amp;AH802</f>
        <v>Прибыль направляемая на инвестициинет</v>
      </c>
      <c r="BZ802" s="250"/>
    </row>
    <row r="803" spans="3:78" ht="14.25">
      <c r="C803" s="97"/>
      <c r="D803" s="367"/>
      <c r="E803" s="370"/>
      <c r="F803" s="373"/>
      <c r="G803" s="376"/>
      <c r="H803" s="379"/>
      <c r="I803" s="382"/>
      <c r="J803" s="382"/>
      <c r="K803" s="385"/>
      <c r="L803" s="388"/>
      <c r="M803" s="391"/>
      <c r="N803" s="394"/>
      <c r="O803" s="397"/>
      <c r="P803" s="400"/>
      <c r="Q803" s="403"/>
      <c r="R803" s="362"/>
      <c r="S803" s="362"/>
      <c r="T803" s="362"/>
      <c r="U803" s="362"/>
      <c r="V803" s="362"/>
      <c r="W803" s="362"/>
      <c r="X803" s="362"/>
      <c r="Y803" s="362"/>
      <c r="Z803" s="362"/>
      <c r="AA803" s="362"/>
      <c r="AB803" s="362"/>
      <c r="AC803" s="362"/>
      <c r="AD803" s="362"/>
      <c r="AE803" s="322" t="s">
        <v>1240</v>
      </c>
      <c r="AF803" s="217" t="s">
        <v>118</v>
      </c>
      <c r="AG803" s="196" t="s">
        <v>223</v>
      </c>
      <c r="AH803" s="302" t="s">
        <v>19</v>
      </c>
      <c r="AI803" s="301" t="s">
        <v>154</v>
      </c>
      <c r="AJ803" s="221"/>
      <c r="AK803" s="221"/>
      <c r="AL803" s="221"/>
      <c r="AM803" s="221"/>
      <c r="AN803" s="221"/>
      <c r="AO803" s="221"/>
      <c r="AP803" s="302" t="s">
        <v>19</v>
      </c>
      <c r="AQ803" s="195">
        <f>SUM(AT803,AW803,AZ803,BC803,BF803,BI803,BL803)</f>
        <v>1756.7266809806333</v>
      </c>
      <c r="AR803" s="197">
        <f>SUM(AT803,AX803,BA803,BD803,BG803,BJ803,BM803)</f>
        <v>0</v>
      </c>
      <c r="AS803" s="195">
        <f>AQ803-AR803</f>
        <v>1756.7266809806333</v>
      </c>
      <c r="AT803" s="315"/>
      <c r="AU803" s="315"/>
      <c r="AV803" s="241"/>
      <c r="AW803" s="198">
        <f>10540.3600858838-AW802</f>
        <v>1756.7266809806333</v>
      </c>
      <c r="AX803" s="313"/>
      <c r="AY803" s="199">
        <f>AW803-AX803</f>
        <v>1756.7266809806333</v>
      </c>
      <c r="AZ803" s="173"/>
      <c r="BA803" s="313"/>
      <c r="BB803" s="199">
        <f>AZ803-BA803</f>
        <v>0</v>
      </c>
      <c r="BC803" s="198"/>
      <c r="BD803" s="313"/>
      <c r="BE803" s="199">
        <f>BC803-BD803</f>
        <v>0</v>
      </c>
      <c r="BF803" s="198"/>
      <c r="BG803" s="241"/>
      <c r="BH803" s="199">
        <f>BF803-BG803</f>
        <v>0</v>
      </c>
      <c r="BI803" s="198"/>
      <c r="BJ803" s="241"/>
      <c r="BK803" s="199">
        <f>BI803-BJ803</f>
        <v>0</v>
      </c>
      <c r="BL803" s="313"/>
      <c r="BM803" s="313"/>
      <c r="BN803" s="195">
        <f>BL803-BM803</f>
        <v>0</v>
      </c>
      <c r="BO803" s="251">
        <v>0</v>
      </c>
      <c r="BP803" s="364"/>
      <c r="BQ803" s="364"/>
      <c r="BR803" s="364"/>
      <c r="BS803" s="249" t="str">
        <f>AG803 &amp; BO803</f>
        <v>Прочие собственные средства0</v>
      </c>
      <c r="BT803" s="364"/>
      <c r="BU803" s="364"/>
      <c r="BV803" s="364"/>
      <c r="BW803" s="364"/>
      <c r="BX803" s="364"/>
      <c r="BY803" s="249" t="str">
        <f>AG803&amp;AH803</f>
        <v>Прочие собственные средстванет</v>
      </c>
      <c r="BZ803" s="250"/>
    </row>
    <row r="804" spans="3:78" ht="15" customHeight="1">
      <c r="C804" s="306"/>
      <c r="D804" s="367"/>
      <c r="E804" s="370"/>
      <c r="F804" s="373"/>
      <c r="G804" s="376"/>
      <c r="H804" s="379"/>
      <c r="I804" s="382"/>
      <c r="J804" s="382"/>
      <c r="K804" s="385"/>
      <c r="L804" s="388"/>
      <c r="M804" s="391"/>
      <c r="N804" s="395"/>
      <c r="O804" s="398"/>
      <c r="P804" s="401"/>
      <c r="Q804" s="404"/>
      <c r="R804" s="363"/>
      <c r="S804" s="363"/>
      <c r="T804" s="363"/>
      <c r="U804" s="363"/>
      <c r="V804" s="363"/>
      <c r="W804" s="363"/>
      <c r="X804" s="363"/>
      <c r="Y804" s="363"/>
      <c r="Z804" s="363"/>
      <c r="AA804" s="363"/>
      <c r="AB804" s="363"/>
      <c r="AC804" s="363"/>
      <c r="AD804" s="363"/>
      <c r="AE804" s="279" t="s">
        <v>379</v>
      </c>
      <c r="AF804" s="203"/>
      <c r="AG804" s="223" t="s">
        <v>24</v>
      </c>
      <c r="AH804" s="223"/>
      <c r="AI804" s="223"/>
      <c r="AJ804" s="223"/>
      <c r="AK804" s="223"/>
      <c r="AL804" s="223"/>
      <c r="AM804" s="223"/>
      <c r="AN804" s="223"/>
      <c r="AO804" s="223"/>
      <c r="AP804" s="168"/>
      <c r="AQ804" s="169"/>
      <c r="AR804" s="169"/>
      <c r="AS804" s="169"/>
      <c r="AT804" s="169"/>
      <c r="AU804" s="169"/>
      <c r="AV804" s="169"/>
      <c r="AW804" s="169"/>
      <c r="AX804" s="169"/>
      <c r="AY804" s="169"/>
      <c r="AZ804" s="169"/>
      <c r="BA804" s="169"/>
      <c r="BB804" s="169"/>
      <c r="BC804" s="169"/>
      <c r="BD804" s="169"/>
      <c r="BE804" s="169"/>
      <c r="BF804" s="169"/>
      <c r="BG804" s="169"/>
      <c r="BH804" s="169"/>
      <c r="BI804" s="169"/>
      <c r="BJ804" s="169"/>
      <c r="BK804" s="169"/>
      <c r="BL804" s="169"/>
      <c r="BM804" s="169"/>
      <c r="BN804" s="170"/>
      <c r="BO804" s="251"/>
      <c r="BP804" s="364"/>
      <c r="BQ804" s="364"/>
      <c r="BR804" s="364"/>
      <c r="BS804" s="250"/>
      <c r="BT804" s="364"/>
      <c r="BU804" s="364"/>
      <c r="BV804" s="364"/>
      <c r="BW804" s="364"/>
      <c r="BX804" s="364"/>
      <c r="BY804" s="250"/>
    </row>
    <row r="805" spans="3:78" ht="15" customHeight="1" thickBot="1">
      <c r="C805" s="307"/>
      <c r="D805" s="368"/>
      <c r="E805" s="371"/>
      <c r="F805" s="374"/>
      <c r="G805" s="377"/>
      <c r="H805" s="380"/>
      <c r="I805" s="383"/>
      <c r="J805" s="383"/>
      <c r="K805" s="386"/>
      <c r="L805" s="389"/>
      <c r="M805" s="392"/>
      <c r="N805" s="280" t="s">
        <v>380</v>
      </c>
      <c r="O805" s="212"/>
      <c r="P805" s="365" t="s">
        <v>154</v>
      </c>
      <c r="Q805" s="365"/>
      <c r="R805" s="171"/>
      <c r="S805" s="171"/>
      <c r="T805" s="166"/>
      <c r="U805" s="166"/>
      <c r="V805" s="166"/>
      <c r="W805" s="166"/>
      <c r="X805" s="166"/>
      <c r="Y805" s="166"/>
      <c r="Z805" s="166"/>
      <c r="AA805" s="166"/>
      <c r="AB805" s="166"/>
      <c r="AC805" s="166"/>
      <c r="AD805" s="166"/>
      <c r="AE805" s="166"/>
      <c r="AF805" s="166"/>
      <c r="AG805" s="166"/>
      <c r="AH805" s="166"/>
      <c r="AI805" s="166"/>
      <c r="AJ805" s="166"/>
      <c r="AK805" s="166"/>
      <c r="AL805" s="166"/>
      <c r="AM805" s="166"/>
      <c r="AN805" s="166"/>
      <c r="AO805" s="166"/>
      <c r="AP805" s="166"/>
      <c r="AQ805" s="166"/>
      <c r="AR805" s="166"/>
      <c r="AS805" s="166"/>
      <c r="AT805" s="166"/>
      <c r="AU805" s="166"/>
      <c r="AV805" s="166"/>
      <c r="AW805" s="166"/>
      <c r="AX805" s="166"/>
      <c r="AY805" s="166"/>
      <c r="AZ805" s="166"/>
      <c r="BA805" s="166"/>
      <c r="BB805" s="166"/>
      <c r="BC805" s="166"/>
      <c r="BD805" s="166"/>
      <c r="BE805" s="166"/>
      <c r="BF805" s="166"/>
      <c r="BG805" s="166"/>
      <c r="BH805" s="166"/>
      <c r="BI805" s="166"/>
      <c r="BJ805" s="166"/>
      <c r="BK805" s="166"/>
      <c r="BL805" s="166"/>
      <c r="BM805" s="166"/>
      <c r="BN805" s="167"/>
      <c r="BO805" s="251"/>
      <c r="BP805" s="250"/>
      <c r="BQ805" s="250"/>
      <c r="BR805" s="250"/>
      <c r="BS805" s="250"/>
      <c r="BT805" s="250"/>
      <c r="BU805" s="250"/>
      <c r="BY805" s="250"/>
    </row>
    <row r="806" spans="3:78" ht="11.25" customHeight="1">
      <c r="C806" s="97" t="s">
        <v>1240</v>
      </c>
      <c r="D806" s="366" t="s">
        <v>1442</v>
      </c>
      <c r="E806" s="369" t="s">
        <v>216</v>
      </c>
      <c r="F806" s="372" t="s">
        <v>154</v>
      </c>
      <c r="G806" s="375" t="s">
        <v>1463</v>
      </c>
      <c r="H806" s="378" t="s">
        <v>715</v>
      </c>
      <c r="I806" s="381" t="s">
        <v>715</v>
      </c>
      <c r="J806" s="381" t="s">
        <v>716</v>
      </c>
      <c r="K806" s="384">
        <v>1</v>
      </c>
      <c r="L806" s="387" t="s">
        <v>3</v>
      </c>
      <c r="M806" s="390">
        <v>0</v>
      </c>
      <c r="N806" s="163"/>
      <c r="O806" s="161"/>
      <c r="P806" s="161"/>
      <c r="Q806" s="161"/>
      <c r="R806" s="161"/>
      <c r="S806" s="161"/>
      <c r="T806" s="161"/>
      <c r="U806" s="161"/>
      <c r="V806" s="161"/>
      <c r="W806" s="161"/>
      <c r="X806" s="161"/>
      <c r="Y806" s="161"/>
      <c r="Z806" s="161"/>
      <c r="AA806" s="161"/>
      <c r="AB806" s="161"/>
      <c r="AC806" s="161"/>
      <c r="AD806" s="161"/>
      <c r="AE806" s="161"/>
      <c r="AF806" s="161"/>
      <c r="AG806" s="161"/>
      <c r="AH806" s="161"/>
      <c r="AI806" s="161"/>
      <c r="AJ806" s="161"/>
      <c r="AK806" s="161"/>
      <c r="AL806" s="161"/>
      <c r="AM806" s="161"/>
      <c r="AN806" s="161"/>
      <c r="AO806" s="161"/>
      <c r="AP806" s="161"/>
      <c r="AQ806" s="161"/>
      <c r="AR806" s="161"/>
      <c r="AS806" s="161"/>
      <c r="AT806" s="161"/>
      <c r="AU806" s="161"/>
      <c r="AV806" s="161"/>
      <c r="AW806" s="161"/>
      <c r="AX806" s="161"/>
      <c r="AY806" s="161"/>
      <c r="AZ806" s="161"/>
      <c r="BA806" s="161"/>
      <c r="BB806" s="161"/>
      <c r="BC806" s="161"/>
      <c r="BD806" s="161"/>
      <c r="BE806" s="161"/>
      <c r="BF806" s="161"/>
      <c r="BG806" s="161"/>
      <c r="BH806" s="161"/>
      <c r="BI806" s="161"/>
      <c r="BJ806" s="161"/>
      <c r="BK806" s="161"/>
      <c r="BL806" s="161"/>
      <c r="BM806" s="161"/>
      <c r="BN806" s="162"/>
      <c r="BO806" s="251"/>
      <c r="BP806" s="250"/>
      <c r="BQ806" s="250"/>
      <c r="BR806" s="250"/>
      <c r="BS806" s="250"/>
      <c r="BT806" s="250"/>
      <c r="BU806" s="250"/>
      <c r="BY806" s="250"/>
    </row>
    <row r="807" spans="3:78" ht="11.25" customHeight="1">
      <c r="C807" s="306"/>
      <c r="D807" s="367"/>
      <c r="E807" s="370"/>
      <c r="F807" s="373"/>
      <c r="G807" s="376"/>
      <c r="H807" s="379"/>
      <c r="I807" s="382"/>
      <c r="J807" s="382"/>
      <c r="K807" s="385"/>
      <c r="L807" s="388"/>
      <c r="M807" s="391"/>
      <c r="N807" s="393"/>
      <c r="O807" s="396">
        <v>1</v>
      </c>
      <c r="P807" s="399" t="s">
        <v>1297</v>
      </c>
      <c r="Q807" s="402"/>
      <c r="R807" s="361" t="s">
        <v>154</v>
      </c>
      <c r="S807" s="361" t="s">
        <v>154</v>
      </c>
      <c r="T807" s="361" t="s">
        <v>154</v>
      </c>
      <c r="U807" s="361" t="s">
        <v>154</v>
      </c>
      <c r="V807" s="361" t="s">
        <v>154</v>
      </c>
      <c r="W807" s="361" t="s">
        <v>154</v>
      </c>
      <c r="X807" s="361" t="s">
        <v>154</v>
      </c>
      <c r="Y807" s="361" t="s">
        <v>154</v>
      </c>
      <c r="Z807" s="361" t="s">
        <v>154</v>
      </c>
      <c r="AA807" s="361" t="s">
        <v>154</v>
      </c>
      <c r="AB807" s="361" t="s">
        <v>154</v>
      </c>
      <c r="AC807" s="361" t="s">
        <v>154</v>
      </c>
      <c r="AD807" s="361" t="s">
        <v>154</v>
      </c>
      <c r="AE807" s="209"/>
      <c r="AF807" s="220">
        <v>0</v>
      </c>
      <c r="AG807" s="219" t="s">
        <v>308</v>
      </c>
      <c r="AH807" s="219"/>
      <c r="AI807" s="219"/>
      <c r="AJ807" s="219"/>
      <c r="AK807" s="219"/>
      <c r="AL807" s="219"/>
      <c r="AM807" s="219"/>
      <c r="AN807" s="219"/>
      <c r="AO807" s="219"/>
      <c r="AP807" s="164"/>
      <c r="AQ807" s="164"/>
      <c r="AR807" s="164"/>
      <c r="AS807" s="164"/>
      <c r="AT807" s="164"/>
      <c r="AU807" s="164"/>
      <c r="AV807" s="164"/>
      <c r="AW807" s="164"/>
      <c r="AX807" s="164"/>
      <c r="AY807" s="164"/>
      <c r="AZ807" s="164"/>
      <c r="BA807" s="164"/>
      <c r="BB807" s="164"/>
      <c r="BC807" s="164"/>
      <c r="BD807" s="164"/>
      <c r="BE807" s="164"/>
      <c r="BF807" s="164"/>
      <c r="BG807" s="164"/>
      <c r="BH807" s="164"/>
      <c r="BI807" s="164"/>
      <c r="BJ807" s="164"/>
      <c r="BK807" s="164"/>
      <c r="BL807" s="164"/>
      <c r="BM807" s="164"/>
      <c r="BN807" s="165"/>
      <c r="BO807" s="251"/>
      <c r="BP807" s="364" t="s">
        <v>1298</v>
      </c>
      <c r="BQ807" s="364" t="s">
        <v>1298</v>
      </c>
      <c r="BR807" s="364" t="s">
        <v>1298</v>
      </c>
      <c r="BS807" s="250"/>
      <c r="BT807" s="364" t="s">
        <v>1298</v>
      </c>
      <c r="BU807" s="364" t="s">
        <v>1298</v>
      </c>
      <c r="BV807" s="364" t="s">
        <v>1298</v>
      </c>
      <c r="BW807" s="364" t="s">
        <v>1298</v>
      </c>
      <c r="BX807" s="364" t="s">
        <v>1298</v>
      </c>
      <c r="BY807" s="250"/>
    </row>
    <row r="808" spans="3:78" ht="14.25">
      <c r="C808" s="306"/>
      <c r="D808" s="367"/>
      <c r="E808" s="370"/>
      <c r="F808" s="373"/>
      <c r="G808" s="376"/>
      <c r="H808" s="379"/>
      <c r="I808" s="382"/>
      <c r="J808" s="382"/>
      <c r="K808" s="385"/>
      <c r="L808" s="388"/>
      <c r="M808" s="391"/>
      <c r="N808" s="394"/>
      <c r="O808" s="397"/>
      <c r="P808" s="400"/>
      <c r="Q808" s="403"/>
      <c r="R808" s="362"/>
      <c r="S808" s="362"/>
      <c r="T808" s="362"/>
      <c r="U808" s="362"/>
      <c r="V808" s="362"/>
      <c r="W808" s="362"/>
      <c r="X808" s="362"/>
      <c r="Y808" s="362"/>
      <c r="Z808" s="362"/>
      <c r="AA808" s="362"/>
      <c r="AB808" s="362"/>
      <c r="AC808" s="362"/>
      <c r="AD808" s="362"/>
      <c r="AE808" s="193"/>
      <c r="AF808" s="217" t="s">
        <v>268</v>
      </c>
      <c r="AG808" s="158" t="s">
        <v>240</v>
      </c>
      <c r="AH808" s="300" t="s">
        <v>19</v>
      </c>
      <c r="AI808" s="301" t="s">
        <v>154</v>
      </c>
      <c r="AJ808" s="221"/>
      <c r="AK808" s="221"/>
      <c r="AL808" s="221"/>
      <c r="AM808" s="221"/>
      <c r="AN808" s="221"/>
      <c r="AO808" s="221"/>
      <c r="AP808" s="302" t="s">
        <v>19</v>
      </c>
      <c r="AQ808" s="195">
        <f>SUM(AT808,AW808,AZ808,BC808,BF808,BI808,BL808)</f>
        <v>5519.9228501375173</v>
      </c>
      <c r="AR808" s="197">
        <f>SUM(AT808,AX808,BA808,BD808,BG808,BJ808,BM808)</f>
        <v>0</v>
      </c>
      <c r="AS808" s="195">
        <f>AQ808-AR808</f>
        <v>5519.9228501375173</v>
      </c>
      <c r="AT808" s="312"/>
      <c r="AU808" s="312"/>
      <c r="AV808" s="244"/>
      <c r="AW808" s="159">
        <v>5519.9228501375173</v>
      </c>
      <c r="AX808" s="312"/>
      <c r="AY808" s="194">
        <f>AW808-AX808</f>
        <v>5519.9228501375173</v>
      </c>
      <c r="AZ808" s="160"/>
      <c r="BA808" s="312"/>
      <c r="BB808" s="194">
        <f>AZ808-BA808</f>
        <v>0</v>
      </c>
      <c r="BC808" s="159"/>
      <c r="BD808" s="312"/>
      <c r="BE808" s="194">
        <f>BC808-BD808</f>
        <v>0</v>
      </c>
      <c r="BF808" s="159"/>
      <c r="BG808" s="244"/>
      <c r="BH808" s="194">
        <f>BF808-BG808</f>
        <v>0</v>
      </c>
      <c r="BI808" s="159"/>
      <c r="BJ808" s="244"/>
      <c r="BK808" s="194">
        <f>BI808-BJ808</f>
        <v>0</v>
      </c>
      <c r="BL808" s="312"/>
      <c r="BM808" s="312"/>
      <c r="BN808" s="195">
        <f>BL808-BM808</f>
        <v>0</v>
      </c>
      <c r="BO808" s="251">
        <v>0</v>
      </c>
      <c r="BP808" s="364"/>
      <c r="BQ808" s="364"/>
      <c r="BR808" s="364"/>
      <c r="BS808" s="249" t="str">
        <f>AG808 &amp; BO808</f>
        <v>Прибыль направляемая на инвестиции0</v>
      </c>
      <c r="BT808" s="364"/>
      <c r="BU808" s="364"/>
      <c r="BV808" s="364"/>
      <c r="BW808" s="364"/>
      <c r="BX808" s="364"/>
      <c r="BY808" s="249" t="str">
        <f>AG808&amp;AH808</f>
        <v>Прибыль направляемая на инвестициинет</v>
      </c>
      <c r="BZ808" s="250"/>
    </row>
    <row r="809" spans="3:78" ht="14.25">
      <c r="C809" s="97"/>
      <c r="D809" s="367"/>
      <c r="E809" s="370"/>
      <c r="F809" s="373"/>
      <c r="G809" s="376"/>
      <c r="H809" s="379"/>
      <c r="I809" s="382"/>
      <c r="J809" s="382"/>
      <c r="K809" s="385"/>
      <c r="L809" s="388"/>
      <c r="M809" s="391"/>
      <c r="N809" s="394"/>
      <c r="O809" s="397"/>
      <c r="P809" s="400"/>
      <c r="Q809" s="403"/>
      <c r="R809" s="362"/>
      <c r="S809" s="362"/>
      <c r="T809" s="362"/>
      <c r="U809" s="362"/>
      <c r="V809" s="362"/>
      <c r="W809" s="362"/>
      <c r="X809" s="362"/>
      <c r="Y809" s="362"/>
      <c r="Z809" s="362"/>
      <c r="AA809" s="362"/>
      <c r="AB809" s="362"/>
      <c r="AC809" s="362"/>
      <c r="AD809" s="362"/>
      <c r="AE809" s="322" t="s">
        <v>1240</v>
      </c>
      <c r="AF809" s="217" t="s">
        <v>118</v>
      </c>
      <c r="AG809" s="196" t="s">
        <v>223</v>
      </c>
      <c r="AH809" s="302" t="s">
        <v>19</v>
      </c>
      <c r="AI809" s="301" t="s">
        <v>154</v>
      </c>
      <c r="AJ809" s="221"/>
      <c r="AK809" s="221"/>
      <c r="AL809" s="221"/>
      <c r="AM809" s="221"/>
      <c r="AN809" s="221"/>
      <c r="AO809" s="221"/>
      <c r="AP809" s="302" t="s">
        <v>19</v>
      </c>
      <c r="AQ809" s="195">
        <f>SUM(AT809,AW809,AZ809,BC809,BF809,BI809,BL809)</f>
        <v>1103.9845700275027</v>
      </c>
      <c r="AR809" s="197">
        <f>SUM(AT809,AX809,BA809,BD809,BG809,BJ809,BM809)</f>
        <v>0</v>
      </c>
      <c r="AS809" s="195">
        <f>AQ809-AR809</f>
        <v>1103.9845700275027</v>
      </c>
      <c r="AT809" s="315"/>
      <c r="AU809" s="315"/>
      <c r="AV809" s="241"/>
      <c r="AW809" s="198">
        <f>6623.90742016502-AW808</f>
        <v>1103.9845700275027</v>
      </c>
      <c r="AX809" s="313"/>
      <c r="AY809" s="199">
        <f>AW809-AX809</f>
        <v>1103.9845700275027</v>
      </c>
      <c r="AZ809" s="173"/>
      <c r="BA809" s="313"/>
      <c r="BB809" s="199">
        <f>AZ809-BA809</f>
        <v>0</v>
      </c>
      <c r="BC809" s="198"/>
      <c r="BD809" s="313"/>
      <c r="BE809" s="199">
        <f>BC809-BD809</f>
        <v>0</v>
      </c>
      <c r="BF809" s="198"/>
      <c r="BG809" s="241"/>
      <c r="BH809" s="199">
        <f>BF809-BG809</f>
        <v>0</v>
      </c>
      <c r="BI809" s="198"/>
      <c r="BJ809" s="241"/>
      <c r="BK809" s="199">
        <f>BI809-BJ809</f>
        <v>0</v>
      </c>
      <c r="BL809" s="313"/>
      <c r="BM809" s="313"/>
      <c r="BN809" s="195">
        <f>BL809-BM809</f>
        <v>0</v>
      </c>
      <c r="BO809" s="251">
        <v>0</v>
      </c>
      <c r="BP809" s="364"/>
      <c r="BQ809" s="364"/>
      <c r="BR809" s="364"/>
      <c r="BS809" s="249" t="str">
        <f>AG809 &amp; BO809</f>
        <v>Прочие собственные средства0</v>
      </c>
      <c r="BT809" s="364"/>
      <c r="BU809" s="364"/>
      <c r="BV809" s="364"/>
      <c r="BW809" s="364"/>
      <c r="BX809" s="364"/>
      <c r="BY809" s="249" t="str">
        <f>AG809&amp;AH809</f>
        <v>Прочие собственные средстванет</v>
      </c>
      <c r="BZ809" s="250"/>
    </row>
    <row r="810" spans="3:78" ht="15" customHeight="1">
      <c r="C810" s="306"/>
      <c r="D810" s="367"/>
      <c r="E810" s="370"/>
      <c r="F810" s="373"/>
      <c r="G810" s="376"/>
      <c r="H810" s="379"/>
      <c r="I810" s="382"/>
      <c r="J810" s="382"/>
      <c r="K810" s="385"/>
      <c r="L810" s="388"/>
      <c r="M810" s="391"/>
      <c r="N810" s="395"/>
      <c r="O810" s="398"/>
      <c r="P810" s="401"/>
      <c r="Q810" s="404"/>
      <c r="R810" s="363"/>
      <c r="S810" s="363"/>
      <c r="T810" s="363"/>
      <c r="U810" s="363"/>
      <c r="V810" s="363"/>
      <c r="W810" s="363"/>
      <c r="X810" s="363"/>
      <c r="Y810" s="363"/>
      <c r="Z810" s="363"/>
      <c r="AA810" s="363"/>
      <c r="AB810" s="363"/>
      <c r="AC810" s="363"/>
      <c r="AD810" s="363"/>
      <c r="AE810" s="279" t="s">
        <v>379</v>
      </c>
      <c r="AF810" s="203"/>
      <c r="AG810" s="223" t="s">
        <v>24</v>
      </c>
      <c r="AH810" s="223"/>
      <c r="AI810" s="223"/>
      <c r="AJ810" s="223"/>
      <c r="AK810" s="223"/>
      <c r="AL810" s="223"/>
      <c r="AM810" s="223"/>
      <c r="AN810" s="223"/>
      <c r="AO810" s="223"/>
      <c r="AP810" s="168"/>
      <c r="AQ810" s="169"/>
      <c r="AR810" s="169"/>
      <c r="AS810" s="169"/>
      <c r="AT810" s="169"/>
      <c r="AU810" s="169"/>
      <c r="AV810" s="169"/>
      <c r="AW810" s="169"/>
      <c r="AX810" s="169"/>
      <c r="AY810" s="169"/>
      <c r="AZ810" s="169"/>
      <c r="BA810" s="169"/>
      <c r="BB810" s="169"/>
      <c r="BC810" s="169"/>
      <c r="BD810" s="169"/>
      <c r="BE810" s="169"/>
      <c r="BF810" s="169"/>
      <c r="BG810" s="169"/>
      <c r="BH810" s="169"/>
      <c r="BI810" s="169"/>
      <c r="BJ810" s="169"/>
      <c r="BK810" s="169"/>
      <c r="BL810" s="169"/>
      <c r="BM810" s="169"/>
      <c r="BN810" s="170"/>
      <c r="BO810" s="251"/>
      <c r="BP810" s="364"/>
      <c r="BQ810" s="364"/>
      <c r="BR810" s="364"/>
      <c r="BS810" s="250"/>
      <c r="BT810" s="364"/>
      <c r="BU810" s="364"/>
      <c r="BV810" s="364"/>
      <c r="BW810" s="364"/>
      <c r="BX810" s="364"/>
      <c r="BY810" s="250"/>
    </row>
    <row r="811" spans="3:78" ht="15" customHeight="1" thickBot="1">
      <c r="C811" s="307"/>
      <c r="D811" s="368"/>
      <c r="E811" s="371"/>
      <c r="F811" s="374"/>
      <c r="G811" s="377"/>
      <c r="H811" s="380"/>
      <c r="I811" s="383"/>
      <c r="J811" s="383"/>
      <c r="K811" s="386"/>
      <c r="L811" s="389"/>
      <c r="M811" s="392"/>
      <c r="N811" s="280" t="s">
        <v>380</v>
      </c>
      <c r="O811" s="212"/>
      <c r="P811" s="365" t="s">
        <v>154</v>
      </c>
      <c r="Q811" s="365"/>
      <c r="R811" s="171"/>
      <c r="S811" s="171"/>
      <c r="T811" s="166"/>
      <c r="U811" s="166"/>
      <c r="V811" s="166"/>
      <c r="W811" s="166"/>
      <c r="X811" s="166"/>
      <c r="Y811" s="166"/>
      <c r="Z811" s="166"/>
      <c r="AA811" s="166"/>
      <c r="AB811" s="166"/>
      <c r="AC811" s="166"/>
      <c r="AD811" s="166"/>
      <c r="AE811" s="166"/>
      <c r="AF811" s="166"/>
      <c r="AG811" s="166"/>
      <c r="AH811" s="166"/>
      <c r="AI811" s="166"/>
      <c r="AJ811" s="166"/>
      <c r="AK811" s="166"/>
      <c r="AL811" s="166"/>
      <c r="AM811" s="166"/>
      <c r="AN811" s="166"/>
      <c r="AO811" s="166"/>
      <c r="AP811" s="166"/>
      <c r="AQ811" s="166"/>
      <c r="AR811" s="166"/>
      <c r="AS811" s="166"/>
      <c r="AT811" s="166"/>
      <c r="AU811" s="166"/>
      <c r="AV811" s="166"/>
      <c r="AW811" s="166"/>
      <c r="AX811" s="166"/>
      <c r="AY811" s="166"/>
      <c r="AZ811" s="166"/>
      <c r="BA811" s="166"/>
      <c r="BB811" s="166"/>
      <c r="BC811" s="166"/>
      <c r="BD811" s="166"/>
      <c r="BE811" s="166"/>
      <c r="BF811" s="166"/>
      <c r="BG811" s="166"/>
      <c r="BH811" s="166"/>
      <c r="BI811" s="166"/>
      <c r="BJ811" s="166"/>
      <c r="BK811" s="166"/>
      <c r="BL811" s="166"/>
      <c r="BM811" s="166"/>
      <c r="BN811" s="167"/>
      <c r="BO811" s="251"/>
      <c r="BP811" s="250"/>
      <c r="BQ811" s="250"/>
      <c r="BR811" s="250"/>
      <c r="BS811" s="250"/>
      <c r="BT811" s="250"/>
      <c r="BU811" s="250"/>
      <c r="BY811" s="250"/>
    </row>
    <row r="812" spans="3:78" ht="11.25" customHeight="1">
      <c r="C812" s="97" t="s">
        <v>1240</v>
      </c>
      <c r="D812" s="366" t="s">
        <v>1443</v>
      </c>
      <c r="E812" s="369" t="s">
        <v>216</v>
      </c>
      <c r="F812" s="372" t="s">
        <v>154</v>
      </c>
      <c r="G812" s="375" t="s">
        <v>1499</v>
      </c>
      <c r="H812" s="378" t="s">
        <v>715</v>
      </c>
      <c r="I812" s="381" t="s">
        <v>715</v>
      </c>
      <c r="J812" s="381" t="s">
        <v>716</v>
      </c>
      <c r="K812" s="384">
        <v>1</v>
      </c>
      <c r="L812" s="387" t="s">
        <v>3</v>
      </c>
      <c r="M812" s="390">
        <v>0</v>
      </c>
      <c r="N812" s="163"/>
      <c r="O812" s="161"/>
      <c r="P812" s="161"/>
      <c r="Q812" s="161"/>
      <c r="R812" s="161"/>
      <c r="S812" s="161"/>
      <c r="T812" s="161"/>
      <c r="U812" s="161"/>
      <c r="V812" s="161"/>
      <c r="W812" s="161"/>
      <c r="X812" s="161"/>
      <c r="Y812" s="161"/>
      <c r="Z812" s="161"/>
      <c r="AA812" s="161"/>
      <c r="AB812" s="161"/>
      <c r="AC812" s="161"/>
      <c r="AD812" s="161"/>
      <c r="AE812" s="161"/>
      <c r="AF812" s="161"/>
      <c r="AG812" s="161"/>
      <c r="AH812" s="161"/>
      <c r="AI812" s="161"/>
      <c r="AJ812" s="161"/>
      <c r="AK812" s="161"/>
      <c r="AL812" s="161"/>
      <c r="AM812" s="161"/>
      <c r="AN812" s="161"/>
      <c r="AO812" s="161"/>
      <c r="AP812" s="161"/>
      <c r="AQ812" s="161"/>
      <c r="AR812" s="161"/>
      <c r="AS812" s="161"/>
      <c r="AT812" s="161"/>
      <c r="AU812" s="161"/>
      <c r="AV812" s="161"/>
      <c r="AW812" s="161"/>
      <c r="AX812" s="161"/>
      <c r="AY812" s="161"/>
      <c r="AZ812" s="161"/>
      <c r="BA812" s="161"/>
      <c r="BB812" s="161"/>
      <c r="BC812" s="161"/>
      <c r="BD812" s="161"/>
      <c r="BE812" s="161"/>
      <c r="BF812" s="161"/>
      <c r="BG812" s="161"/>
      <c r="BH812" s="161"/>
      <c r="BI812" s="161"/>
      <c r="BJ812" s="161"/>
      <c r="BK812" s="161"/>
      <c r="BL812" s="161"/>
      <c r="BM812" s="161"/>
      <c r="BN812" s="162"/>
      <c r="BO812" s="251"/>
      <c r="BP812" s="250"/>
      <c r="BQ812" s="250"/>
      <c r="BR812" s="250"/>
      <c r="BS812" s="250"/>
      <c r="BT812" s="250"/>
      <c r="BU812" s="250"/>
      <c r="BY812" s="250"/>
    </row>
    <row r="813" spans="3:78" ht="11.25" customHeight="1">
      <c r="C813" s="306"/>
      <c r="D813" s="367"/>
      <c r="E813" s="370"/>
      <c r="F813" s="373"/>
      <c r="G813" s="376"/>
      <c r="H813" s="379"/>
      <c r="I813" s="382"/>
      <c r="J813" s="382"/>
      <c r="K813" s="385"/>
      <c r="L813" s="388"/>
      <c r="M813" s="391"/>
      <c r="N813" s="393"/>
      <c r="O813" s="396">
        <v>1</v>
      </c>
      <c r="P813" s="399" t="s">
        <v>1297</v>
      </c>
      <c r="Q813" s="402"/>
      <c r="R813" s="361" t="s">
        <v>154</v>
      </c>
      <c r="S813" s="361" t="s">
        <v>154</v>
      </c>
      <c r="T813" s="361" t="s">
        <v>154</v>
      </c>
      <c r="U813" s="361" t="s">
        <v>154</v>
      </c>
      <c r="V813" s="361" t="s">
        <v>154</v>
      </c>
      <c r="W813" s="361" t="s">
        <v>154</v>
      </c>
      <c r="X813" s="361" t="s">
        <v>154</v>
      </c>
      <c r="Y813" s="361" t="s">
        <v>154</v>
      </c>
      <c r="Z813" s="361" t="s">
        <v>154</v>
      </c>
      <c r="AA813" s="361" t="s">
        <v>154</v>
      </c>
      <c r="AB813" s="361" t="s">
        <v>154</v>
      </c>
      <c r="AC813" s="361" t="s">
        <v>154</v>
      </c>
      <c r="AD813" s="361" t="s">
        <v>154</v>
      </c>
      <c r="AE813" s="209"/>
      <c r="AF813" s="220">
        <v>0</v>
      </c>
      <c r="AG813" s="219" t="s">
        <v>308</v>
      </c>
      <c r="AH813" s="219"/>
      <c r="AI813" s="219"/>
      <c r="AJ813" s="219"/>
      <c r="AK813" s="219"/>
      <c r="AL813" s="219"/>
      <c r="AM813" s="219"/>
      <c r="AN813" s="219"/>
      <c r="AO813" s="219"/>
      <c r="AP813" s="164"/>
      <c r="AQ813" s="164"/>
      <c r="AR813" s="164"/>
      <c r="AS813" s="164"/>
      <c r="AT813" s="164"/>
      <c r="AU813" s="164"/>
      <c r="AV813" s="164"/>
      <c r="AW813" s="164"/>
      <c r="AX813" s="164"/>
      <c r="AY813" s="164"/>
      <c r="AZ813" s="164"/>
      <c r="BA813" s="164"/>
      <c r="BB813" s="164"/>
      <c r="BC813" s="164"/>
      <c r="BD813" s="164"/>
      <c r="BE813" s="164"/>
      <c r="BF813" s="164"/>
      <c r="BG813" s="164"/>
      <c r="BH813" s="164"/>
      <c r="BI813" s="164"/>
      <c r="BJ813" s="164"/>
      <c r="BK813" s="164"/>
      <c r="BL813" s="164"/>
      <c r="BM813" s="164"/>
      <c r="BN813" s="165"/>
      <c r="BO813" s="251"/>
      <c r="BP813" s="364" t="s">
        <v>1298</v>
      </c>
      <c r="BQ813" s="364" t="s">
        <v>1298</v>
      </c>
      <c r="BR813" s="364" t="s">
        <v>1298</v>
      </c>
      <c r="BS813" s="250"/>
      <c r="BT813" s="364" t="s">
        <v>1298</v>
      </c>
      <c r="BU813" s="364" t="s">
        <v>1298</v>
      </c>
      <c r="BV813" s="364" t="s">
        <v>1298</v>
      </c>
      <c r="BW813" s="364" t="s">
        <v>1298</v>
      </c>
      <c r="BX813" s="364" t="s">
        <v>1298</v>
      </c>
      <c r="BY813" s="250"/>
    </row>
    <row r="814" spans="3:78" ht="14.25">
      <c r="C814" s="306"/>
      <c r="D814" s="367"/>
      <c r="E814" s="370"/>
      <c r="F814" s="373"/>
      <c r="G814" s="376"/>
      <c r="H814" s="379"/>
      <c r="I814" s="382"/>
      <c r="J814" s="382"/>
      <c r="K814" s="385"/>
      <c r="L814" s="388"/>
      <c r="M814" s="391"/>
      <c r="N814" s="394"/>
      <c r="O814" s="397"/>
      <c r="P814" s="400"/>
      <c r="Q814" s="403"/>
      <c r="R814" s="362"/>
      <c r="S814" s="362"/>
      <c r="T814" s="362"/>
      <c r="U814" s="362"/>
      <c r="V814" s="362"/>
      <c r="W814" s="362"/>
      <c r="X814" s="362"/>
      <c r="Y814" s="362"/>
      <c r="Z814" s="362"/>
      <c r="AA814" s="362"/>
      <c r="AB814" s="362"/>
      <c r="AC814" s="362"/>
      <c r="AD814" s="362"/>
      <c r="AE814" s="193"/>
      <c r="AF814" s="217" t="s">
        <v>268</v>
      </c>
      <c r="AG814" s="158" t="s">
        <v>239</v>
      </c>
      <c r="AH814" s="300" t="s">
        <v>19</v>
      </c>
      <c r="AI814" s="301" t="s">
        <v>154</v>
      </c>
      <c r="AJ814" s="221"/>
      <c r="AK814" s="221"/>
      <c r="AL814" s="221"/>
      <c r="AM814" s="221"/>
      <c r="AN814" s="221"/>
      <c r="AO814" s="221"/>
      <c r="AP814" s="302" t="s">
        <v>19</v>
      </c>
      <c r="AQ814" s="195">
        <f>SUM(AT814,AW814,AZ814,BC814,BF814,BI814,BL814)</f>
        <v>210232.66365037728</v>
      </c>
      <c r="AR814" s="197">
        <f>SUM(AT814,AX814,BA814,BD814,BG814,BJ814,BM814)</f>
        <v>0</v>
      </c>
      <c r="AS814" s="195">
        <f>AQ814-AR814</f>
        <v>210232.66365037728</v>
      </c>
      <c r="AT814" s="312"/>
      <c r="AU814" s="312"/>
      <c r="AV814" s="244"/>
      <c r="AW814" s="159">
        <v>210232.66365037728</v>
      </c>
      <c r="AX814" s="312"/>
      <c r="AY814" s="194">
        <f>AW814-AX814</f>
        <v>210232.66365037728</v>
      </c>
      <c r="AZ814" s="160"/>
      <c r="BA814" s="312"/>
      <c r="BB814" s="194">
        <f>AZ814-BA814</f>
        <v>0</v>
      </c>
      <c r="BC814" s="159"/>
      <c r="BD814" s="312"/>
      <c r="BE814" s="194">
        <f>BC814-BD814</f>
        <v>0</v>
      </c>
      <c r="BF814" s="159"/>
      <c r="BG814" s="244"/>
      <c r="BH814" s="194">
        <f>BF814-BG814</f>
        <v>0</v>
      </c>
      <c r="BI814" s="159"/>
      <c r="BJ814" s="244"/>
      <c r="BK814" s="194">
        <f>BI814-BJ814</f>
        <v>0</v>
      </c>
      <c r="BL814" s="312"/>
      <c r="BM814" s="312"/>
      <c r="BN814" s="195">
        <f>BL814-BM814</f>
        <v>0</v>
      </c>
      <c r="BO814" s="251">
        <v>0</v>
      </c>
      <c r="BP814" s="364"/>
      <c r="BQ814" s="364"/>
      <c r="BR814" s="364"/>
      <c r="BS814" s="249" t="str">
        <f>AG814 &amp; BO814</f>
        <v>Прочие0</v>
      </c>
      <c r="BT814" s="364"/>
      <c r="BU814" s="364"/>
      <c r="BV814" s="364"/>
      <c r="BW814" s="364"/>
      <c r="BX814" s="364"/>
      <c r="BY814" s="249" t="str">
        <f>AG814&amp;AH814</f>
        <v>Прочиенет</v>
      </c>
      <c r="BZ814" s="250"/>
    </row>
    <row r="815" spans="3:78" ht="14.25">
      <c r="C815" s="97"/>
      <c r="D815" s="367"/>
      <c r="E815" s="370"/>
      <c r="F815" s="373"/>
      <c r="G815" s="376"/>
      <c r="H815" s="379"/>
      <c r="I815" s="382"/>
      <c r="J815" s="382"/>
      <c r="K815" s="385"/>
      <c r="L815" s="388"/>
      <c r="M815" s="391"/>
      <c r="N815" s="394"/>
      <c r="O815" s="397"/>
      <c r="P815" s="400"/>
      <c r="Q815" s="403"/>
      <c r="R815" s="362"/>
      <c r="S815" s="362"/>
      <c r="T815" s="362"/>
      <c r="U815" s="362"/>
      <c r="V815" s="362"/>
      <c r="W815" s="362"/>
      <c r="X815" s="362"/>
      <c r="Y815" s="362"/>
      <c r="Z815" s="362"/>
      <c r="AA815" s="362"/>
      <c r="AB815" s="362"/>
      <c r="AC815" s="362"/>
      <c r="AD815" s="362"/>
      <c r="AE815" s="322" t="s">
        <v>1240</v>
      </c>
      <c r="AF815" s="217" t="s">
        <v>118</v>
      </c>
      <c r="AG815" s="196" t="s">
        <v>239</v>
      </c>
      <c r="AH815" s="302" t="s">
        <v>19</v>
      </c>
      <c r="AI815" s="301" t="s">
        <v>154</v>
      </c>
      <c r="AJ815" s="221"/>
      <c r="AK815" s="221"/>
      <c r="AL815" s="221"/>
      <c r="AM815" s="221"/>
      <c r="AN815" s="221"/>
      <c r="AO815" s="221"/>
      <c r="AP815" s="302" t="s">
        <v>19</v>
      </c>
      <c r="AQ815" s="195">
        <f>SUM(AT815,AW815,AZ815,BC815,BF815,BI815,BL815)</f>
        <v>42046.532730075734</v>
      </c>
      <c r="AR815" s="197">
        <f>SUM(AT815,AX815,BA815,BD815,BG815,BJ815,BM815)</f>
        <v>0</v>
      </c>
      <c r="AS815" s="195">
        <f>AQ815-AR815</f>
        <v>42046.532730075734</v>
      </c>
      <c r="AT815" s="315"/>
      <c r="AU815" s="315"/>
      <c r="AV815" s="241"/>
      <c r="AW815" s="198">
        <f>252279.196380453-AW814</f>
        <v>42046.532730075734</v>
      </c>
      <c r="AX815" s="313"/>
      <c r="AY815" s="199">
        <f>AW815-AX815</f>
        <v>42046.532730075734</v>
      </c>
      <c r="AZ815" s="173"/>
      <c r="BA815" s="313"/>
      <c r="BB815" s="199">
        <f>AZ815-BA815</f>
        <v>0</v>
      </c>
      <c r="BC815" s="198"/>
      <c r="BD815" s="313"/>
      <c r="BE815" s="199">
        <f>BC815-BD815</f>
        <v>0</v>
      </c>
      <c r="BF815" s="198"/>
      <c r="BG815" s="241"/>
      <c r="BH815" s="199">
        <f>BF815-BG815</f>
        <v>0</v>
      </c>
      <c r="BI815" s="198"/>
      <c r="BJ815" s="241"/>
      <c r="BK815" s="199">
        <f>BI815-BJ815</f>
        <v>0</v>
      </c>
      <c r="BL815" s="313"/>
      <c r="BM815" s="313"/>
      <c r="BN815" s="195">
        <f>BL815-BM815</f>
        <v>0</v>
      </c>
      <c r="BO815" s="251">
        <v>0</v>
      </c>
      <c r="BP815" s="364"/>
      <c r="BQ815" s="364"/>
      <c r="BR815" s="364"/>
      <c r="BS815" s="249" t="str">
        <f>AG815 &amp; BO815</f>
        <v>Прочие0</v>
      </c>
      <c r="BT815" s="364"/>
      <c r="BU815" s="364"/>
      <c r="BV815" s="364"/>
      <c r="BW815" s="364"/>
      <c r="BX815" s="364"/>
      <c r="BY815" s="249" t="str">
        <f>AG815&amp;AH815</f>
        <v>Прочиенет</v>
      </c>
      <c r="BZ815" s="250"/>
    </row>
    <row r="816" spans="3:78" ht="15" customHeight="1">
      <c r="C816" s="306"/>
      <c r="D816" s="367"/>
      <c r="E816" s="370"/>
      <c r="F816" s="373"/>
      <c r="G816" s="376"/>
      <c r="H816" s="379"/>
      <c r="I816" s="382"/>
      <c r="J816" s="382"/>
      <c r="K816" s="385"/>
      <c r="L816" s="388"/>
      <c r="M816" s="391"/>
      <c r="N816" s="395"/>
      <c r="O816" s="398"/>
      <c r="P816" s="401"/>
      <c r="Q816" s="404"/>
      <c r="R816" s="363"/>
      <c r="S816" s="363"/>
      <c r="T816" s="363"/>
      <c r="U816" s="363"/>
      <c r="V816" s="363"/>
      <c r="W816" s="363"/>
      <c r="X816" s="363"/>
      <c r="Y816" s="363"/>
      <c r="Z816" s="363"/>
      <c r="AA816" s="363"/>
      <c r="AB816" s="363"/>
      <c r="AC816" s="363"/>
      <c r="AD816" s="363"/>
      <c r="AE816" s="279" t="s">
        <v>379</v>
      </c>
      <c r="AF816" s="203"/>
      <c r="AG816" s="223" t="s">
        <v>24</v>
      </c>
      <c r="AH816" s="223"/>
      <c r="AI816" s="223"/>
      <c r="AJ816" s="223"/>
      <c r="AK816" s="223"/>
      <c r="AL816" s="223"/>
      <c r="AM816" s="223"/>
      <c r="AN816" s="223"/>
      <c r="AO816" s="223"/>
      <c r="AP816" s="168"/>
      <c r="AQ816" s="169"/>
      <c r="AR816" s="169"/>
      <c r="AS816" s="169"/>
      <c r="AT816" s="169"/>
      <c r="AU816" s="169"/>
      <c r="AV816" s="169"/>
      <c r="AW816" s="169"/>
      <c r="AX816" s="169"/>
      <c r="AY816" s="169"/>
      <c r="AZ816" s="169"/>
      <c r="BA816" s="169"/>
      <c r="BB816" s="169"/>
      <c r="BC816" s="169"/>
      <c r="BD816" s="169"/>
      <c r="BE816" s="169"/>
      <c r="BF816" s="169"/>
      <c r="BG816" s="169"/>
      <c r="BH816" s="169"/>
      <c r="BI816" s="169"/>
      <c r="BJ816" s="169"/>
      <c r="BK816" s="169"/>
      <c r="BL816" s="169"/>
      <c r="BM816" s="169"/>
      <c r="BN816" s="170"/>
      <c r="BO816" s="251"/>
      <c r="BP816" s="364"/>
      <c r="BQ816" s="364"/>
      <c r="BR816" s="364"/>
      <c r="BS816" s="250"/>
      <c r="BT816" s="364"/>
      <c r="BU816" s="364"/>
      <c r="BV816" s="364"/>
      <c r="BW816" s="364"/>
      <c r="BX816" s="364"/>
      <c r="BY816" s="250"/>
    </row>
    <row r="817" spans="3:78" ht="15" customHeight="1" thickBot="1">
      <c r="C817" s="307"/>
      <c r="D817" s="368"/>
      <c r="E817" s="371"/>
      <c r="F817" s="374"/>
      <c r="G817" s="377"/>
      <c r="H817" s="380"/>
      <c r="I817" s="383"/>
      <c r="J817" s="383"/>
      <c r="K817" s="386"/>
      <c r="L817" s="389"/>
      <c r="M817" s="392"/>
      <c r="N817" s="280" t="s">
        <v>380</v>
      </c>
      <c r="O817" s="212"/>
      <c r="P817" s="365" t="s">
        <v>154</v>
      </c>
      <c r="Q817" s="365"/>
      <c r="R817" s="171"/>
      <c r="S817" s="171"/>
      <c r="T817" s="166"/>
      <c r="U817" s="166"/>
      <c r="V817" s="166"/>
      <c r="W817" s="166"/>
      <c r="X817" s="166"/>
      <c r="Y817" s="166"/>
      <c r="Z817" s="166"/>
      <c r="AA817" s="166"/>
      <c r="AB817" s="166"/>
      <c r="AC817" s="166"/>
      <c r="AD817" s="166"/>
      <c r="AE817" s="166"/>
      <c r="AF817" s="166"/>
      <c r="AG817" s="166"/>
      <c r="AH817" s="166"/>
      <c r="AI817" s="166"/>
      <c r="AJ817" s="166"/>
      <c r="AK817" s="166"/>
      <c r="AL817" s="166"/>
      <c r="AM817" s="166"/>
      <c r="AN817" s="166"/>
      <c r="AO817" s="166"/>
      <c r="AP817" s="166"/>
      <c r="AQ817" s="166"/>
      <c r="AR817" s="166"/>
      <c r="AS817" s="166"/>
      <c r="AT817" s="166"/>
      <c r="AU817" s="166"/>
      <c r="AV817" s="166"/>
      <c r="AW817" s="166"/>
      <c r="AX817" s="166"/>
      <c r="AY817" s="166"/>
      <c r="AZ817" s="166"/>
      <c r="BA817" s="166"/>
      <c r="BB817" s="166"/>
      <c r="BC817" s="166"/>
      <c r="BD817" s="166"/>
      <c r="BE817" s="166"/>
      <c r="BF817" s="166"/>
      <c r="BG817" s="166"/>
      <c r="BH817" s="166"/>
      <c r="BI817" s="166"/>
      <c r="BJ817" s="166"/>
      <c r="BK817" s="166"/>
      <c r="BL817" s="166"/>
      <c r="BM817" s="166"/>
      <c r="BN817" s="167"/>
      <c r="BO817" s="251"/>
      <c r="BP817" s="250"/>
      <c r="BQ817" s="250"/>
      <c r="BR817" s="250"/>
      <c r="BS817" s="250"/>
      <c r="BT817" s="250"/>
      <c r="BU817" s="250"/>
      <c r="BY817" s="250"/>
    </row>
    <row r="818" spans="3:78" ht="11.25" customHeight="1">
      <c r="C818" s="97" t="s">
        <v>1240</v>
      </c>
      <c r="D818" s="366" t="s">
        <v>1444</v>
      </c>
      <c r="E818" s="369" t="s">
        <v>216</v>
      </c>
      <c r="F818" s="372" t="s">
        <v>154</v>
      </c>
      <c r="G818" s="375" t="s">
        <v>1500</v>
      </c>
      <c r="H818" s="378" t="s">
        <v>715</v>
      </c>
      <c r="I818" s="381" t="s">
        <v>715</v>
      </c>
      <c r="J818" s="381" t="s">
        <v>716</v>
      </c>
      <c r="K818" s="384">
        <v>1</v>
      </c>
      <c r="L818" s="387" t="s">
        <v>4</v>
      </c>
      <c r="M818" s="390">
        <v>0</v>
      </c>
      <c r="N818" s="163"/>
      <c r="O818" s="161"/>
      <c r="P818" s="161"/>
      <c r="Q818" s="161"/>
      <c r="R818" s="161"/>
      <c r="S818" s="161"/>
      <c r="T818" s="161"/>
      <c r="U818" s="161"/>
      <c r="V818" s="161"/>
      <c r="W818" s="161"/>
      <c r="X818" s="161"/>
      <c r="Y818" s="161"/>
      <c r="Z818" s="161"/>
      <c r="AA818" s="161"/>
      <c r="AB818" s="161"/>
      <c r="AC818" s="161"/>
      <c r="AD818" s="161"/>
      <c r="AE818" s="161"/>
      <c r="AF818" s="161"/>
      <c r="AG818" s="161"/>
      <c r="AH818" s="161"/>
      <c r="AI818" s="161"/>
      <c r="AJ818" s="161"/>
      <c r="AK818" s="161"/>
      <c r="AL818" s="161"/>
      <c r="AM818" s="161"/>
      <c r="AN818" s="161"/>
      <c r="AO818" s="161"/>
      <c r="AP818" s="161"/>
      <c r="AQ818" s="161"/>
      <c r="AR818" s="161"/>
      <c r="AS818" s="161"/>
      <c r="AT818" s="161"/>
      <c r="AU818" s="161"/>
      <c r="AV818" s="161"/>
      <c r="AW818" s="161"/>
      <c r="AX818" s="161"/>
      <c r="AY818" s="161"/>
      <c r="AZ818" s="161"/>
      <c r="BA818" s="161"/>
      <c r="BB818" s="161"/>
      <c r="BC818" s="161"/>
      <c r="BD818" s="161"/>
      <c r="BE818" s="161"/>
      <c r="BF818" s="161"/>
      <c r="BG818" s="161"/>
      <c r="BH818" s="161"/>
      <c r="BI818" s="161"/>
      <c r="BJ818" s="161"/>
      <c r="BK818" s="161"/>
      <c r="BL818" s="161"/>
      <c r="BM818" s="161"/>
      <c r="BN818" s="162"/>
      <c r="BO818" s="251"/>
      <c r="BP818" s="250"/>
      <c r="BQ818" s="250"/>
      <c r="BR818" s="250"/>
      <c r="BS818" s="250"/>
      <c r="BT818" s="250"/>
      <c r="BU818" s="250"/>
      <c r="BY818" s="250"/>
    </row>
    <row r="819" spans="3:78" ht="11.25" customHeight="1">
      <c r="C819" s="306"/>
      <c r="D819" s="367"/>
      <c r="E819" s="370"/>
      <c r="F819" s="373"/>
      <c r="G819" s="376"/>
      <c r="H819" s="379"/>
      <c r="I819" s="382"/>
      <c r="J819" s="382"/>
      <c r="K819" s="385"/>
      <c r="L819" s="388"/>
      <c r="M819" s="391"/>
      <c r="N819" s="393"/>
      <c r="O819" s="396">
        <v>1</v>
      </c>
      <c r="P819" s="399" t="s">
        <v>1297</v>
      </c>
      <c r="Q819" s="402"/>
      <c r="R819" s="361" t="s">
        <v>154</v>
      </c>
      <c r="S819" s="361" t="s">
        <v>154</v>
      </c>
      <c r="T819" s="361" t="s">
        <v>154</v>
      </c>
      <c r="U819" s="361" t="s">
        <v>154</v>
      </c>
      <c r="V819" s="361" t="s">
        <v>154</v>
      </c>
      <c r="W819" s="361" t="s">
        <v>154</v>
      </c>
      <c r="X819" s="361" t="s">
        <v>154</v>
      </c>
      <c r="Y819" s="361" t="s">
        <v>154</v>
      </c>
      <c r="Z819" s="361" t="s">
        <v>154</v>
      </c>
      <c r="AA819" s="361" t="s">
        <v>154</v>
      </c>
      <c r="AB819" s="361" t="s">
        <v>154</v>
      </c>
      <c r="AC819" s="361" t="s">
        <v>154</v>
      </c>
      <c r="AD819" s="361" t="s">
        <v>154</v>
      </c>
      <c r="AE819" s="209"/>
      <c r="AF819" s="220">
        <v>0</v>
      </c>
      <c r="AG819" s="219" t="s">
        <v>308</v>
      </c>
      <c r="AH819" s="219"/>
      <c r="AI819" s="219"/>
      <c r="AJ819" s="219"/>
      <c r="AK819" s="219"/>
      <c r="AL819" s="219"/>
      <c r="AM819" s="219"/>
      <c r="AN819" s="219"/>
      <c r="AO819" s="219"/>
      <c r="AP819" s="164"/>
      <c r="AQ819" s="164"/>
      <c r="AR819" s="164"/>
      <c r="AS819" s="164"/>
      <c r="AT819" s="164"/>
      <c r="AU819" s="164"/>
      <c r="AV819" s="164"/>
      <c r="AW819" s="164"/>
      <c r="AX819" s="164"/>
      <c r="AY819" s="164"/>
      <c r="AZ819" s="164"/>
      <c r="BA819" s="164"/>
      <c r="BB819" s="164"/>
      <c r="BC819" s="164"/>
      <c r="BD819" s="164"/>
      <c r="BE819" s="164"/>
      <c r="BF819" s="164"/>
      <c r="BG819" s="164"/>
      <c r="BH819" s="164"/>
      <c r="BI819" s="164"/>
      <c r="BJ819" s="164"/>
      <c r="BK819" s="164"/>
      <c r="BL819" s="164"/>
      <c r="BM819" s="164"/>
      <c r="BN819" s="165"/>
      <c r="BO819" s="251"/>
      <c r="BP819" s="364" t="s">
        <v>1298</v>
      </c>
      <c r="BQ819" s="364" t="s">
        <v>1298</v>
      </c>
      <c r="BR819" s="364" t="s">
        <v>1298</v>
      </c>
      <c r="BS819" s="250"/>
      <c r="BT819" s="364" t="s">
        <v>1298</v>
      </c>
      <c r="BU819" s="364" t="s">
        <v>1298</v>
      </c>
      <c r="BV819" s="364" t="s">
        <v>1298</v>
      </c>
      <c r="BW819" s="364" t="s">
        <v>1298</v>
      </c>
      <c r="BX819" s="364" t="s">
        <v>1298</v>
      </c>
      <c r="BY819" s="250"/>
    </row>
    <row r="820" spans="3:78" ht="14.25">
      <c r="C820" s="306"/>
      <c r="D820" s="367"/>
      <c r="E820" s="370"/>
      <c r="F820" s="373"/>
      <c r="G820" s="376"/>
      <c r="H820" s="379"/>
      <c r="I820" s="382"/>
      <c r="J820" s="382"/>
      <c r="K820" s="385"/>
      <c r="L820" s="388"/>
      <c r="M820" s="391"/>
      <c r="N820" s="394"/>
      <c r="O820" s="397"/>
      <c r="P820" s="400"/>
      <c r="Q820" s="403"/>
      <c r="R820" s="362"/>
      <c r="S820" s="362"/>
      <c r="T820" s="362"/>
      <c r="U820" s="362"/>
      <c r="V820" s="362"/>
      <c r="W820" s="362"/>
      <c r="X820" s="362"/>
      <c r="Y820" s="362"/>
      <c r="Z820" s="362"/>
      <c r="AA820" s="362"/>
      <c r="AB820" s="362"/>
      <c r="AC820" s="362"/>
      <c r="AD820" s="362"/>
      <c r="AE820" s="193"/>
      <c r="AF820" s="217" t="s">
        <v>268</v>
      </c>
      <c r="AG820" s="158" t="s">
        <v>239</v>
      </c>
      <c r="AH820" s="300" t="s">
        <v>19</v>
      </c>
      <c r="AI820" s="301" t="s">
        <v>154</v>
      </c>
      <c r="AJ820" s="221"/>
      <c r="AK820" s="221"/>
      <c r="AL820" s="221"/>
      <c r="AM820" s="221"/>
      <c r="AN820" s="221"/>
      <c r="AO820" s="221"/>
      <c r="AP820" s="302" t="s">
        <v>19</v>
      </c>
      <c r="AQ820" s="195">
        <f>SUM(AT820,AW820,AZ820,BC820,BF820,BI820,BL820)</f>
        <v>220954.52949654666</v>
      </c>
      <c r="AR820" s="197">
        <f>SUM(AT820,AX820,BA820,BD820,BG820,BJ820,BM820)</f>
        <v>0</v>
      </c>
      <c r="AS820" s="195">
        <f>AQ820-AR820</f>
        <v>220954.52949654666</v>
      </c>
      <c r="AT820" s="312"/>
      <c r="AU820" s="312"/>
      <c r="AV820" s="244"/>
      <c r="AW820" s="159"/>
      <c r="AX820" s="312"/>
      <c r="AY820" s="194">
        <f>AW820-AX820</f>
        <v>0</v>
      </c>
      <c r="AZ820" s="160">
        <v>220954.52949654666</v>
      </c>
      <c r="BA820" s="312"/>
      <c r="BB820" s="194">
        <f>AZ820-BA820</f>
        <v>220954.52949654666</v>
      </c>
      <c r="BC820" s="159"/>
      <c r="BD820" s="312"/>
      <c r="BE820" s="194">
        <f>BC820-BD820</f>
        <v>0</v>
      </c>
      <c r="BF820" s="159"/>
      <c r="BG820" s="244"/>
      <c r="BH820" s="194">
        <f>BF820-BG820</f>
        <v>0</v>
      </c>
      <c r="BI820" s="159"/>
      <c r="BJ820" s="244"/>
      <c r="BK820" s="194">
        <f>BI820-BJ820</f>
        <v>0</v>
      </c>
      <c r="BL820" s="312"/>
      <c r="BM820" s="312"/>
      <c r="BN820" s="195">
        <f>BL820-BM820</f>
        <v>0</v>
      </c>
      <c r="BO820" s="251">
        <v>0</v>
      </c>
      <c r="BP820" s="364"/>
      <c r="BQ820" s="364"/>
      <c r="BR820" s="364"/>
      <c r="BS820" s="249" t="str">
        <f>AG820 &amp; BO820</f>
        <v>Прочие0</v>
      </c>
      <c r="BT820" s="364"/>
      <c r="BU820" s="364"/>
      <c r="BV820" s="364"/>
      <c r="BW820" s="364"/>
      <c r="BX820" s="364"/>
      <c r="BY820" s="249" t="str">
        <f>AG820&amp;AH820</f>
        <v>Прочиенет</v>
      </c>
      <c r="BZ820" s="250"/>
    </row>
    <row r="821" spans="3:78" ht="14.25">
      <c r="C821" s="97"/>
      <c r="D821" s="367"/>
      <c r="E821" s="370"/>
      <c r="F821" s="373"/>
      <c r="G821" s="376"/>
      <c r="H821" s="379"/>
      <c r="I821" s="382"/>
      <c r="J821" s="382"/>
      <c r="K821" s="385"/>
      <c r="L821" s="388"/>
      <c r="M821" s="391"/>
      <c r="N821" s="394"/>
      <c r="O821" s="397"/>
      <c r="P821" s="400"/>
      <c r="Q821" s="403"/>
      <c r="R821" s="362"/>
      <c r="S821" s="362"/>
      <c r="T821" s="362"/>
      <c r="U821" s="362"/>
      <c r="V821" s="362"/>
      <c r="W821" s="362"/>
      <c r="X821" s="362"/>
      <c r="Y821" s="362"/>
      <c r="Z821" s="362"/>
      <c r="AA821" s="362"/>
      <c r="AB821" s="362"/>
      <c r="AC821" s="362"/>
      <c r="AD821" s="362"/>
      <c r="AE821" s="322" t="s">
        <v>1240</v>
      </c>
      <c r="AF821" s="217" t="s">
        <v>118</v>
      </c>
      <c r="AG821" s="196" t="s">
        <v>239</v>
      </c>
      <c r="AH821" s="302" t="s">
        <v>19</v>
      </c>
      <c r="AI821" s="301" t="s">
        <v>154</v>
      </c>
      <c r="AJ821" s="221"/>
      <c r="AK821" s="221"/>
      <c r="AL821" s="221"/>
      <c r="AM821" s="221"/>
      <c r="AN821" s="221"/>
      <c r="AO821" s="221"/>
      <c r="AP821" s="302" t="s">
        <v>19</v>
      </c>
      <c r="AQ821" s="195">
        <f>SUM(AT821,AW821,AZ821,BC821,BF821,BI821,BL821)</f>
        <v>44190.90589930932</v>
      </c>
      <c r="AR821" s="197">
        <f>SUM(AT821,AX821,BA821,BD821,BG821,BJ821,BM821)</f>
        <v>0</v>
      </c>
      <c r="AS821" s="195">
        <f>AQ821-AR821</f>
        <v>44190.90589930932</v>
      </c>
      <c r="AT821" s="315"/>
      <c r="AU821" s="315"/>
      <c r="AV821" s="241"/>
      <c r="AW821" s="198"/>
      <c r="AX821" s="313"/>
      <c r="AY821" s="199">
        <f>AW821-AX821</f>
        <v>0</v>
      </c>
      <c r="AZ821" s="173">
        <f>265145.435395856-AZ820</f>
        <v>44190.90589930932</v>
      </c>
      <c r="BA821" s="313"/>
      <c r="BB821" s="199">
        <f>AZ821-BA821</f>
        <v>44190.90589930932</v>
      </c>
      <c r="BC821" s="198"/>
      <c r="BD821" s="313"/>
      <c r="BE821" s="199">
        <f>BC821-BD821</f>
        <v>0</v>
      </c>
      <c r="BF821" s="198"/>
      <c r="BG821" s="241"/>
      <c r="BH821" s="199">
        <f>BF821-BG821</f>
        <v>0</v>
      </c>
      <c r="BI821" s="198"/>
      <c r="BJ821" s="241"/>
      <c r="BK821" s="199">
        <f>BI821-BJ821</f>
        <v>0</v>
      </c>
      <c r="BL821" s="313"/>
      <c r="BM821" s="313"/>
      <c r="BN821" s="195">
        <f>BL821-BM821</f>
        <v>0</v>
      </c>
      <c r="BO821" s="251">
        <v>0</v>
      </c>
      <c r="BP821" s="364"/>
      <c r="BQ821" s="364"/>
      <c r="BR821" s="364"/>
      <c r="BS821" s="249" t="str">
        <f>AG821 &amp; BO821</f>
        <v>Прочие0</v>
      </c>
      <c r="BT821" s="364"/>
      <c r="BU821" s="364"/>
      <c r="BV821" s="364"/>
      <c r="BW821" s="364"/>
      <c r="BX821" s="364"/>
      <c r="BY821" s="249" t="str">
        <f>AG821&amp;AH821</f>
        <v>Прочиенет</v>
      </c>
      <c r="BZ821" s="250"/>
    </row>
    <row r="822" spans="3:78" ht="15" customHeight="1">
      <c r="C822" s="306"/>
      <c r="D822" s="367"/>
      <c r="E822" s="370"/>
      <c r="F822" s="373"/>
      <c r="G822" s="376"/>
      <c r="H822" s="379"/>
      <c r="I822" s="382"/>
      <c r="J822" s="382"/>
      <c r="K822" s="385"/>
      <c r="L822" s="388"/>
      <c r="M822" s="391"/>
      <c r="N822" s="395"/>
      <c r="O822" s="398"/>
      <c r="P822" s="401"/>
      <c r="Q822" s="404"/>
      <c r="R822" s="363"/>
      <c r="S822" s="363"/>
      <c r="T822" s="363"/>
      <c r="U822" s="363"/>
      <c r="V822" s="363"/>
      <c r="W822" s="363"/>
      <c r="X822" s="363"/>
      <c r="Y822" s="363"/>
      <c r="Z822" s="363"/>
      <c r="AA822" s="363"/>
      <c r="AB822" s="363"/>
      <c r="AC822" s="363"/>
      <c r="AD822" s="363"/>
      <c r="AE822" s="279" t="s">
        <v>379</v>
      </c>
      <c r="AF822" s="203"/>
      <c r="AG822" s="223" t="s">
        <v>24</v>
      </c>
      <c r="AH822" s="223"/>
      <c r="AI822" s="223"/>
      <c r="AJ822" s="223"/>
      <c r="AK822" s="223"/>
      <c r="AL822" s="223"/>
      <c r="AM822" s="223"/>
      <c r="AN822" s="223"/>
      <c r="AO822" s="223"/>
      <c r="AP822" s="168"/>
      <c r="AQ822" s="169"/>
      <c r="AR822" s="169"/>
      <c r="AS822" s="169"/>
      <c r="AT822" s="169"/>
      <c r="AU822" s="169"/>
      <c r="AV822" s="169"/>
      <c r="AW822" s="169"/>
      <c r="AX822" s="169"/>
      <c r="AY822" s="169"/>
      <c r="AZ822" s="169"/>
      <c r="BA822" s="169"/>
      <c r="BB822" s="169"/>
      <c r="BC822" s="169"/>
      <c r="BD822" s="169"/>
      <c r="BE822" s="169"/>
      <c r="BF822" s="169"/>
      <c r="BG822" s="169"/>
      <c r="BH822" s="169"/>
      <c r="BI822" s="169"/>
      <c r="BJ822" s="169"/>
      <c r="BK822" s="169"/>
      <c r="BL822" s="169"/>
      <c r="BM822" s="169"/>
      <c r="BN822" s="170"/>
      <c r="BO822" s="251"/>
      <c r="BP822" s="364"/>
      <c r="BQ822" s="364"/>
      <c r="BR822" s="364"/>
      <c r="BS822" s="250"/>
      <c r="BT822" s="364"/>
      <c r="BU822" s="364"/>
      <c r="BV822" s="364"/>
      <c r="BW822" s="364"/>
      <c r="BX822" s="364"/>
      <c r="BY822" s="250"/>
    </row>
    <row r="823" spans="3:78" ht="15" customHeight="1" thickBot="1">
      <c r="C823" s="307"/>
      <c r="D823" s="368"/>
      <c r="E823" s="371"/>
      <c r="F823" s="374"/>
      <c r="G823" s="377"/>
      <c r="H823" s="380"/>
      <c r="I823" s="383"/>
      <c r="J823" s="383"/>
      <c r="K823" s="386"/>
      <c r="L823" s="389"/>
      <c r="M823" s="392"/>
      <c r="N823" s="280" t="s">
        <v>380</v>
      </c>
      <c r="O823" s="212"/>
      <c r="P823" s="365" t="s">
        <v>154</v>
      </c>
      <c r="Q823" s="365"/>
      <c r="R823" s="171"/>
      <c r="S823" s="171"/>
      <c r="T823" s="166"/>
      <c r="U823" s="166"/>
      <c r="V823" s="166"/>
      <c r="W823" s="166"/>
      <c r="X823" s="166"/>
      <c r="Y823" s="166"/>
      <c r="Z823" s="166"/>
      <c r="AA823" s="166"/>
      <c r="AB823" s="166"/>
      <c r="AC823" s="166"/>
      <c r="AD823" s="166"/>
      <c r="AE823" s="166"/>
      <c r="AF823" s="166"/>
      <c r="AG823" s="166"/>
      <c r="AH823" s="166"/>
      <c r="AI823" s="166"/>
      <c r="AJ823" s="166"/>
      <c r="AK823" s="166"/>
      <c r="AL823" s="166"/>
      <c r="AM823" s="166"/>
      <c r="AN823" s="166"/>
      <c r="AO823" s="166"/>
      <c r="AP823" s="166"/>
      <c r="AQ823" s="166"/>
      <c r="AR823" s="166"/>
      <c r="AS823" s="166"/>
      <c r="AT823" s="166"/>
      <c r="AU823" s="166"/>
      <c r="AV823" s="166"/>
      <c r="AW823" s="166"/>
      <c r="AX823" s="166"/>
      <c r="AY823" s="166"/>
      <c r="AZ823" s="166"/>
      <c r="BA823" s="166"/>
      <c r="BB823" s="166"/>
      <c r="BC823" s="166"/>
      <c r="BD823" s="166"/>
      <c r="BE823" s="166"/>
      <c r="BF823" s="166"/>
      <c r="BG823" s="166"/>
      <c r="BH823" s="166"/>
      <c r="BI823" s="166"/>
      <c r="BJ823" s="166"/>
      <c r="BK823" s="166"/>
      <c r="BL823" s="166"/>
      <c r="BM823" s="166"/>
      <c r="BN823" s="167"/>
      <c r="BO823" s="251"/>
      <c r="BP823" s="250"/>
      <c r="BQ823" s="250"/>
      <c r="BR823" s="250"/>
      <c r="BS823" s="250"/>
      <c r="BT823" s="250"/>
      <c r="BU823" s="250"/>
      <c r="BY823" s="250"/>
    </row>
    <row r="824" spans="3:78" ht="11.25" customHeight="1">
      <c r="C824" s="97" t="s">
        <v>1240</v>
      </c>
      <c r="D824" s="366" t="s">
        <v>1445</v>
      </c>
      <c r="E824" s="369" t="s">
        <v>216</v>
      </c>
      <c r="F824" s="372" t="s">
        <v>154</v>
      </c>
      <c r="G824" s="375" t="s">
        <v>1501</v>
      </c>
      <c r="H824" s="378" t="s">
        <v>715</v>
      </c>
      <c r="I824" s="381" t="s">
        <v>715</v>
      </c>
      <c r="J824" s="381" t="s">
        <v>716</v>
      </c>
      <c r="K824" s="384">
        <v>1</v>
      </c>
      <c r="L824" s="387" t="s">
        <v>5</v>
      </c>
      <c r="M824" s="390">
        <v>0</v>
      </c>
      <c r="N824" s="163"/>
      <c r="O824" s="161"/>
      <c r="P824" s="161"/>
      <c r="Q824" s="161"/>
      <c r="R824" s="161"/>
      <c r="S824" s="161"/>
      <c r="T824" s="161"/>
      <c r="U824" s="161"/>
      <c r="V824" s="161"/>
      <c r="W824" s="161"/>
      <c r="X824" s="161"/>
      <c r="Y824" s="161"/>
      <c r="Z824" s="161"/>
      <c r="AA824" s="161"/>
      <c r="AB824" s="161"/>
      <c r="AC824" s="161"/>
      <c r="AD824" s="161"/>
      <c r="AE824" s="161"/>
      <c r="AF824" s="161"/>
      <c r="AG824" s="161"/>
      <c r="AH824" s="161"/>
      <c r="AI824" s="161"/>
      <c r="AJ824" s="161"/>
      <c r="AK824" s="161"/>
      <c r="AL824" s="161"/>
      <c r="AM824" s="161"/>
      <c r="AN824" s="161"/>
      <c r="AO824" s="161"/>
      <c r="AP824" s="161"/>
      <c r="AQ824" s="161"/>
      <c r="AR824" s="161"/>
      <c r="AS824" s="161"/>
      <c r="AT824" s="161"/>
      <c r="AU824" s="161"/>
      <c r="AV824" s="161"/>
      <c r="AW824" s="161"/>
      <c r="AX824" s="161"/>
      <c r="AY824" s="161"/>
      <c r="AZ824" s="161"/>
      <c r="BA824" s="161"/>
      <c r="BB824" s="161"/>
      <c r="BC824" s="161"/>
      <c r="BD824" s="161"/>
      <c r="BE824" s="161"/>
      <c r="BF824" s="161"/>
      <c r="BG824" s="161"/>
      <c r="BH824" s="161"/>
      <c r="BI824" s="161"/>
      <c r="BJ824" s="161"/>
      <c r="BK824" s="161"/>
      <c r="BL824" s="161"/>
      <c r="BM824" s="161"/>
      <c r="BN824" s="162"/>
      <c r="BO824" s="251"/>
      <c r="BP824" s="250"/>
      <c r="BQ824" s="250"/>
      <c r="BR824" s="250"/>
      <c r="BS824" s="250"/>
      <c r="BT824" s="250"/>
      <c r="BU824" s="250"/>
      <c r="BY824" s="250"/>
    </row>
    <row r="825" spans="3:78" ht="11.25" customHeight="1">
      <c r="C825" s="306"/>
      <c r="D825" s="367"/>
      <c r="E825" s="370"/>
      <c r="F825" s="373"/>
      <c r="G825" s="376"/>
      <c r="H825" s="379"/>
      <c r="I825" s="382"/>
      <c r="J825" s="382"/>
      <c r="K825" s="385"/>
      <c r="L825" s="388"/>
      <c r="M825" s="391"/>
      <c r="N825" s="393"/>
      <c r="O825" s="396">
        <v>1</v>
      </c>
      <c r="P825" s="399" t="s">
        <v>1297</v>
      </c>
      <c r="Q825" s="402"/>
      <c r="R825" s="361" t="s">
        <v>154</v>
      </c>
      <c r="S825" s="361" t="s">
        <v>154</v>
      </c>
      <c r="T825" s="361" t="s">
        <v>154</v>
      </c>
      <c r="U825" s="361" t="s">
        <v>154</v>
      </c>
      <c r="V825" s="361" t="s">
        <v>154</v>
      </c>
      <c r="W825" s="361" t="s">
        <v>154</v>
      </c>
      <c r="X825" s="361" t="s">
        <v>154</v>
      </c>
      <c r="Y825" s="361" t="s">
        <v>154</v>
      </c>
      <c r="Z825" s="361" t="s">
        <v>154</v>
      </c>
      <c r="AA825" s="361" t="s">
        <v>154</v>
      </c>
      <c r="AB825" s="361" t="s">
        <v>154</v>
      </c>
      <c r="AC825" s="361" t="s">
        <v>154</v>
      </c>
      <c r="AD825" s="361" t="s">
        <v>154</v>
      </c>
      <c r="AE825" s="209"/>
      <c r="AF825" s="220">
        <v>0</v>
      </c>
      <c r="AG825" s="219" t="s">
        <v>308</v>
      </c>
      <c r="AH825" s="219"/>
      <c r="AI825" s="219"/>
      <c r="AJ825" s="219"/>
      <c r="AK825" s="219"/>
      <c r="AL825" s="219"/>
      <c r="AM825" s="219"/>
      <c r="AN825" s="219"/>
      <c r="AO825" s="219"/>
      <c r="AP825" s="164"/>
      <c r="AQ825" s="164"/>
      <c r="AR825" s="164"/>
      <c r="AS825" s="164"/>
      <c r="AT825" s="164"/>
      <c r="AU825" s="164"/>
      <c r="AV825" s="164"/>
      <c r="AW825" s="164"/>
      <c r="AX825" s="164"/>
      <c r="AY825" s="164"/>
      <c r="AZ825" s="164"/>
      <c r="BA825" s="164"/>
      <c r="BB825" s="164"/>
      <c r="BC825" s="164"/>
      <c r="BD825" s="164"/>
      <c r="BE825" s="164"/>
      <c r="BF825" s="164"/>
      <c r="BG825" s="164"/>
      <c r="BH825" s="164"/>
      <c r="BI825" s="164"/>
      <c r="BJ825" s="164"/>
      <c r="BK825" s="164"/>
      <c r="BL825" s="164"/>
      <c r="BM825" s="164"/>
      <c r="BN825" s="165"/>
      <c r="BO825" s="251"/>
      <c r="BP825" s="364" t="s">
        <v>1298</v>
      </c>
      <c r="BQ825" s="364" t="s">
        <v>1298</v>
      </c>
      <c r="BR825" s="364" t="s">
        <v>1298</v>
      </c>
      <c r="BS825" s="250"/>
      <c r="BT825" s="364" t="s">
        <v>1298</v>
      </c>
      <c r="BU825" s="364" t="s">
        <v>1298</v>
      </c>
      <c r="BV825" s="364" t="s">
        <v>1298</v>
      </c>
      <c r="BW825" s="364" t="s">
        <v>1298</v>
      </c>
      <c r="BX825" s="364" t="s">
        <v>1298</v>
      </c>
      <c r="BY825" s="250"/>
    </row>
    <row r="826" spans="3:78" ht="14.25">
      <c r="C826" s="306"/>
      <c r="D826" s="367"/>
      <c r="E826" s="370"/>
      <c r="F826" s="373"/>
      <c r="G826" s="376"/>
      <c r="H826" s="379"/>
      <c r="I826" s="382"/>
      <c r="J826" s="382"/>
      <c r="K826" s="385"/>
      <c r="L826" s="388"/>
      <c r="M826" s="391"/>
      <c r="N826" s="394"/>
      <c r="O826" s="397"/>
      <c r="P826" s="400"/>
      <c r="Q826" s="403"/>
      <c r="R826" s="362"/>
      <c r="S826" s="362"/>
      <c r="T826" s="362"/>
      <c r="U826" s="362"/>
      <c r="V826" s="362"/>
      <c r="W826" s="362"/>
      <c r="X826" s="362"/>
      <c r="Y826" s="362"/>
      <c r="Z826" s="362"/>
      <c r="AA826" s="362"/>
      <c r="AB826" s="362"/>
      <c r="AC826" s="362"/>
      <c r="AD826" s="362"/>
      <c r="AE826" s="193"/>
      <c r="AF826" s="217" t="s">
        <v>268</v>
      </c>
      <c r="AG826" s="158" t="s">
        <v>239</v>
      </c>
      <c r="AH826" s="300" t="s">
        <v>19</v>
      </c>
      <c r="AI826" s="301" t="s">
        <v>154</v>
      </c>
      <c r="AJ826" s="221"/>
      <c r="AK826" s="221"/>
      <c r="AL826" s="221"/>
      <c r="AM826" s="221"/>
      <c r="AN826" s="221"/>
      <c r="AO826" s="221"/>
      <c r="AP826" s="302" t="s">
        <v>19</v>
      </c>
      <c r="AQ826" s="195">
        <f>SUM(AT826,AW826,AZ826,BC826,BF826,BI826,BL826)</f>
        <v>231339.39238288417</v>
      </c>
      <c r="AR826" s="197">
        <f>SUM(AT826,AX826,BA826,BD826,BG826,BJ826,BM826)</f>
        <v>0</v>
      </c>
      <c r="AS826" s="195">
        <f>AQ826-AR826</f>
        <v>231339.39238288417</v>
      </c>
      <c r="AT826" s="312"/>
      <c r="AU826" s="312"/>
      <c r="AV826" s="244"/>
      <c r="AW826" s="159"/>
      <c r="AX826" s="312"/>
      <c r="AY826" s="194">
        <f>AW826-AX826</f>
        <v>0</v>
      </c>
      <c r="AZ826" s="160"/>
      <c r="BA826" s="312"/>
      <c r="BB826" s="194">
        <f>AZ826-BA826</f>
        <v>0</v>
      </c>
      <c r="BC826" s="159">
        <v>231339.39238288417</v>
      </c>
      <c r="BD826" s="312"/>
      <c r="BE826" s="194">
        <f>BC826-BD826</f>
        <v>231339.39238288417</v>
      </c>
      <c r="BF826" s="159"/>
      <c r="BG826" s="244"/>
      <c r="BH826" s="194">
        <f>BF826-BG826</f>
        <v>0</v>
      </c>
      <c r="BI826" s="159"/>
      <c r="BJ826" s="244"/>
      <c r="BK826" s="194">
        <f>BI826-BJ826</f>
        <v>0</v>
      </c>
      <c r="BL826" s="312"/>
      <c r="BM826" s="312"/>
      <c r="BN826" s="195">
        <f>BL826-BM826</f>
        <v>0</v>
      </c>
      <c r="BO826" s="251">
        <v>0</v>
      </c>
      <c r="BP826" s="364"/>
      <c r="BQ826" s="364"/>
      <c r="BR826" s="364"/>
      <c r="BS826" s="249" t="str">
        <f>AG826 &amp; BO826</f>
        <v>Прочие0</v>
      </c>
      <c r="BT826" s="364"/>
      <c r="BU826" s="364"/>
      <c r="BV826" s="364"/>
      <c r="BW826" s="364"/>
      <c r="BX826" s="364"/>
      <c r="BY826" s="249" t="str">
        <f>AG826&amp;AH826</f>
        <v>Прочиенет</v>
      </c>
      <c r="BZ826" s="250"/>
    </row>
    <row r="827" spans="3:78" ht="14.25">
      <c r="C827" s="97"/>
      <c r="D827" s="367"/>
      <c r="E827" s="370"/>
      <c r="F827" s="373"/>
      <c r="G827" s="376"/>
      <c r="H827" s="379"/>
      <c r="I827" s="382"/>
      <c r="J827" s="382"/>
      <c r="K827" s="385"/>
      <c r="L827" s="388"/>
      <c r="M827" s="391"/>
      <c r="N827" s="394"/>
      <c r="O827" s="397"/>
      <c r="P827" s="400"/>
      <c r="Q827" s="403"/>
      <c r="R827" s="362"/>
      <c r="S827" s="362"/>
      <c r="T827" s="362"/>
      <c r="U827" s="362"/>
      <c r="V827" s="362"/>
      <c r="W827" s="362"/>
      <c r="X827" s="362"/>
      <c r="Y827" s="362"/>
      <c r="Z827" s="362"/>
      <c r="AA827" s="362"/>
      <c r="AB827" s="362"/>
      <c r="AC827" s="362"/>
      <c r="AD827" s="362"/>
      <c r="AE827" s="322" t="s">
        <v>1240</v>
      </c>
      <c r="AF827" s="217" t="s">
        <v>118</v>
      </c>
      <c r="AG827" s="196" t="s">
        <v>239</v>
      </c>
      <c r="AH827" s="302" t="s">
        <v>19</v>
      </c>
      <c r="AI827" s="301" t="s">
        <v>154</v>
      </c>
      <c r="AJ827" s="221"/>
      <c r="AK827" s="221"/>
      <c r="AL827" s="221"/>
      <c r="AM827" s="221"/>
      <c r="AN827" s="221"/>
      <c r="AO827" s="221"/>
      <c r="AP827" s="302" t="s">
        <v>19</v>
      </c>
      <c r="AQ827" s="195">
        <f>SUM(AT827,AW827,AZ827,BC827,BF827,BI827,BL827)</f>
        <v>46267.878476576821</v>
      </c>
      <c r="AR827" s="197">
        <f>SUM(AT827,AX827,BA827,BD827,BG827,BJ827,BM827)</f>
        <v>0</v>
      </c>
      <c r="AS827" s="195">
        <f>AQ827-AR827</f>
        <v>46267.878476576821</v>
      </c>
      <c r="AT827" s="315"/>
      <c r="AU827" s="315"/>
      <c r="AV827" s="241"/>
      <c r="AW827" s="198"/>
      <c r="AX827" s="313"/>
      <c r="AY827" s="199">
        <f>AW827-AX827</f>
        <v>0</v>
      </c>
      <c r="AZ827" s="173"/>
      <c r="BA827" s="313"/>
      <c r="BB827" s="199">
        <f>AZ827-BA827</f>
        <v>0</v>
      </c>
      <c r="BC827" s="198">
        <f>277607.270859461-BC826</f>
        <v>46267.878476576821</v>
      </c>
      <c r="BD827" s="313"/>
      <c r="BE827" s="199">
        <f>BC827-BD827</f>
        <v>46267.878476576821</v>
      </c>
      <c r="BF827" s="198"/>
      <c r="BG827" s="241"/>
      <c r="BH827" s="199">
        <f>BF827-BG827</f>
        <v>0</v>
      </c>
      <c r="BI827" s="198"/>
      <c r="BJ827" s="241"/>
      <c r="BK827" s="199">
        <f>BI827-BJ827</f>
        <v>0</v>
      </c>
      <c r="BL827" s="313"/>
      <c r="BM827" s="313"/>
      <c r="BN827" s="195">
        <f>BL827-BM827</f>
        <v>0</v>
      </c>
      <c r="BO827" s="251">
        <v>0</v>
      </c>
      <c r="BP827" s="364"/>
      <c r="BQ827" s="364"/>
      <c r="BR827" s="364"/>
      <c r="BS827" s="249" t="str">
        <f>AG827 &amp; BO827</f>
        <v>Прочие0</v>
      </c>
      <c r="BT827" s="364"/>
      <c r="BU827" s="364"/>
      <c r="BV827" s="364"/>
      <c r="BW827" s="364"/>
      <c r="BX827" s="364"/>
      <c r="BY827" s="249" t="str">
        <f>AG827&amp;AH827</f>
        <v>Прочиенет</v>
      </c>
      <c r="BZ827" s="250"/>
    </row>
    <row r="828" spans="3:78" ht="15" customHeight="1">
      <c r="C828" s="306"/>
      <c r="D828" s="367"/>
      <c r="E828" s="370"/>
      <c r="F828" s="373"/>
      <c r="G828" s="376"/>
      <c r="H828" s="379"/>
      <c r="I828" s="382"/>
      <c r="J828" s="382"/>
      <c r="K828" s="385"/>
      <c r="L828" s="388"/>
      <c r="M828" s="391"/>
      <c r="N828" s="395"/>
      <c r="O828" s="398"/>
      <c r="P828" s="401"/>
      <c r="Q828" s="404"/>
      <c r="R828" s="363"/>
      <c r="S828" s="363"/>
      <c r="T828" s="363"/>
      <c r="U828" s="363"/>
      <c r="V828" s="363"/>
      <c r="W828" s="363"/>
      <c r="X828" s="363"/>
      <c r="Y828" s="363"/>
      <c r="Z828" s="363"/>
      <c r="AA828" s="363"/>
      <c r="AB828" s="363"/>
      <c r="AC828" s="363"/>
      <c r="AD828" s="363"/>
      <c r="AE828" s="279" t="s">
        <v>379</v>
      </c>
      <c r="AF828" s="203"/>
      <c r="AG828" s="223" t="s">
        <v>24</v>
      </c>
      <c r="AH828" s="223"/>
      <c r="AI828" s="223"/>
      <c r="AJ828" s="223"/>
      <c r="AK828" s="223"/>
      <c r="AL828" s="223"/>
      <c r="AM828" s="223"/>
      <c r="AN828" s="223"/>
      <c r="AO828" s="223"/>
      <c r="AP828" s="168"/>
      <c r="AQ828" s="169"/>
      <c r="AR828" s="169"/>
      <c r="AS828" s="169"/>
      <c r="AT828" s="169"/>
      <c r="AU828" s="169"/>
      <c r="AV828" s="169"/>
      <c r="AW828" s="169"/>
      <c r="AX828" s="169"/>
      <c r="AY828" s="169"/>
      <c r="AZ828" s="169"/>
      <c r="BA828" s="169"/>
      <c r="BB828" s="169"/>
      <c r="BC828" s="169"/>
      <c r="BD828" s="169"/>
      <c r="BE828" s="169"/>
      <c r="BF828" s="169"/>
      <c r="BG828" s="169"/>
      <c r="BH828" s="169"/>
      <c r="BI828" s="169"/>
      <c r="BJ828" s="169"/>
      <c r="BK828" s="169"/>
      <c r="BL828" s="169"/>
      <c r="BM828" s="169"/>
      <c r="BN828" s="170"/>
      <c r="BO828" s="251"/>
      <c r="BP828" s="364"/>
      <c r="BQ828" s="364"/>
      <c r="BR828" s="364"/>
      <c r="BS828" s="250"/>
      <c r="BT828" s="364"/>
      <c r="BU828" s="364"/>
      <c r="BV828" s="364"/>
      <c r="BW828" s="364"/>
      <c r="BX828" s="364"/>
      <c r="BY828" s="250"/>
    </row>
    <row r="829" spans="3:78" ht="15" customHeight="1" thickBot="1">
      <c r="C829" s="307"/>
      <c r="D829" s="368"/>
      <c r="E829" s="371"/>
      <c r="F829" s="374"/>
      <c r="G829" s="377"/>
      <c r="H829" s="380"/>
      <c r="I829" s="383"/>
      <c r="J829" s="383"/>
      <c r="K829" s="386"/>
      <c r="L829" s="389"/>
      <c r="M829" s="392"/>
      <c r="N829" s="280" t="s">
        <v>380</v>
      </c>
      <c r="O829" s="212"/>
      <c r="P829" s="365" t="s">
        <v>154</v>
      </c>
      <c r="Q829" s="365"/>
      <c r="R829" s="171"/>
      <c r="S829" s="171"/>
      <c r="T829" s="166"/>
      <c r="U829" s="166"/>
      <c r="V829" s="166"/>
      <c r="W829" s="166"/>
      <c r="X829" s="166"/>
      <c r="Y829" s="166"/>
      <c r="Z829" s="166"/>
      <c r="AA829" s="166"/>
      <c r="AB829" s="166"/>
      <c r="AC829" s="166"/>
      <c r="AD829" s="166"/>
      <c r="AE829" s="166"/>
      <c r="AF829" s="166"/>
      <c r="AG829" s="166"/>
      <c r="AH829" s="166"/>
      <c r="AI829" s="166"/>
      <c r="AJ829" s="166"/>
      <c r="AK829" s="166"/>
      <c r="AL829" s="166"/>
      <c r="AM829" s="166"/>
      <c r="AN829" s="166"/>
      <c r="AO829" s="166"/>
      <c r="AP829" s="166"/>
      <c r="AQ829" s="166"/>
      <c r="AR829" s="166"/>
      <c r="AS829" s="166"/>
      <c r="AT829" s="166"/>
      <c r="AU829" s="166"/>
      <c r="AV829" s="166"/>
      <c r="AW829" s="166"/>
      <c r="AX829" s="166"/>
      <c r="AY829" s="166"/>
      <c r="AZ829" s="166"/>
      <c r="BA829" s="166"/>
      <c r="BB829" s="166"/>
      <c r="BC829" s="166"/>
      <c r="BD829" s="166"/>
      <c r="BE829" s="166"/>
      <c r="BF829" s="166"/>
      <c r="BG829" s="166"/>
      <c r="BH829" s="166"/>
      <c r="BI829" s="166"/>
      <c r="BJ829" s="166"/>
      <c r="BK829" s="166"/>
      <c r="BL829" s="166"/>
      <c r="BM829" s="166"/>
      <c r="BN829" s="167"/>
      <c r="BO829" s="251"/>
      <c r="BP829" s="250"/>
      <c r="BQ829" s="250"/>
      <c r="BR829" s="250"/>
      <c r="BS829" s="250"/>
      <c r="BT829" s="250"/>
      <c r="BU829" s="250"/>
      <c r="BY829" s="250"/>
    </row>
    <row r="830" spans="3:78">
      <c r="C830" s="45"/>
      <c r="D830" s="140"/>
      <c r="E830" s="141" t="s">
        <v>284</v>
      </c>
      <c r="F830" s="141"/>
      <c r="G830" s="141"/>
      <c r="H830" s="141"/>
      <c r="I830" s="141"/>
      <c r="J830" s="141"/>
      <c r="K830" s="141"/>
      <c r="L830" s="141"/>
      <c r="M830" s="141"/>
      <c r="N830" s="141"/>
      <c r="O830" s="141"/>
      <c r="P830" s="141"/>
      <c r="Q830" s="141"/>
      <c r="R830" s="141"/>
      <c r="S830" s="141"/>
      <c r="T830" s="141"/>
      <c r="U830" s="141"/>
      <c r="V830" s="141"/>
      <c r="W830" s="141"/>
      <c r="X830" s="141"/>
      <c r="Y830" s="141"/>
      <c r="Z830" s="141"/>
      <c r="AA830" s="141"/>
      <c r="AB830" s="141"/>
      <c r="AC830" s="141"/>
      <c r="AD830" s="141"/>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c r="BO830" s="99"/>
    </row>
    <row r="831" spans="3:78" ht="15.75" customHeight="1">
      <c r="C831" s="45"/>
      <c r="D831" s="109"/>
      <c r="E831" s="110"/>
      <c r="F831" s="98"/>
      <c r="G831" s="98"/>
      <c r="H831" s="98"/>
      <c r="I831" s="98"/>
      <c r="J831" s="98"/>
      <c r="K831" s="98"/>
      <c r="L831" s="98"/>
      <c r="M831" s="98"/>
      <c r="N831" s="98"/>
      <c r="O831" s="98"/>
      <c r="P831" s="98"/>
      <c r="Q831" s="98"/>
      <c r="R831" s="98"/>
      <c r="S831" s="98"/>
      <c r="T831" s="98"/>
      <c r="U831" s="98"/>
      <c r="V831" s="98"/>
      <c r="W831" s="98"/>
      <c r="X831" s="98"/>
      <c r="Y831" s="98"/>
      <c r="Z831" s="98"/>
      <c r="AA831" s="98"/>
      <c r="AB831" s="98"/>
      <c r="AC831" s="98"/>
      <c r="AD831" s="98"/>
      <c r="AE831" s="111"/>
      <c r="AF831" s="111"/>
      <c r="AG831" s="111"/>
      <c r="AH831" s="111"/>
      <c r="AI831" s="111"/>
      <c r="AJ831" s="111"/>
      <c r="AK831" s="111"/>
      <c r="AL831" s="111"/>
      <c r="AM831" s="111"/>
      <c r="AN831" s="111"/>
      <c r="AO831" s="111"/>
      <c r="AP831" s="111"/>
      <c r="AQ831" s="111"/>
      <c r="AR831" s="111"/>
      <c r="AS831" s="111"/>
      <c r="AT831" s="111"/>
      <c r="AU831" s="111"/>
      <c r="AV831" s="111"/>
      <c r="AW831" s="111"/>
      <c r="AX831" s="111"/>
      <c r="AY831" s="111"/>
      <c r="AZ831" s="111"/>
      <c r="BA831" s="111"/>
      <c r="BB831" s="111"/>
      <c r="BC831" s="112"/>
      <c r="BD831" s="110"/>
      <c r="BE831" s="110"/>
      <c r="BF831" s="105"/>
      <c r="BG831" s="105"/>
      <c r="BH831" s="105"/>
      <c r="BI831" s="105"/>
      <c r="BJ831" s="105"/>
      <c r="BK831" s="105"/>
      <c r="BL831" s="105"/>
      <c r="BM831" s="105"/>
      <c r="BN831" s="114"/>
    </row>
    <row r="832" spans="3:78" ht="15" customHeight="1">
      <c r="C832" s="45"/>
      <c r="D832" s="55" t="s">
        <v>165</v>
      </c>
      <c r="E832" s="96"/>
      <c r="F832" s="9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c r="AO832" s="56"/>
      <c r="AP832" s="56"/>
      <c r="AQ832" s="56"/>
      <c r="AR832" s="56"/>
      <c r="AS832" s="56"/>
      <c r="AT832" s="56"/>
      <c r="AU832" s="56"/>
      <c r="AV832" s="56"/>
      <c r="AW832" s="56"/>
      <c r="AX832" s="56"/>
      <c r="AY832" s="56"/>
      <c r="AZ832" s="56"/>
      <c r="BA832" s="56"/>
      <c r="BB832" s="56"/>
      <c r="BC832" s="56"/>
      <c r="BD832" s="56"/>
      <c r="BE832" s="56"/>
      <c r="BF832" s="56"/>
      <c r="BG832" s="56"/>
      <c r="BH832" s="56"/>
      <c r="BI832" s="56"/>
      <c r="BJ832" s="56"/>
      <c r="BK832" s="56"/>
      <c r="BL832" s="56"/>
      <c r="BM832" s="56"/>
      <c r="BN832" s="56"/>
      <c r="BO832" s="99"/>
    </row>
    <row r="833" spans="3:67" ht="24" customHeight="1">
      <c r="C833" s="45"/>
      <c r="D833" s="410" t="s">
        <v>36</v>
      </c>
      <c r="E833" s="410" t="s">
        <v>195</v>
      </c>
      <c r="F833" s="410" t="s">
        <v>196</v>
      </c>
      <c r="G833" s="408" t="s">
        <v>163</v>
      </c>
      <c r="H833" s="412" t="s">
        <v>315</v>
      </c>
      <c r="I833" s="414"/>
      <c r="J833" s="414"/>
      <c r="K833" s="408" t="s">
        <v>254</v>
      </c>
      <c r="L833" s="412" t="s">
        <v>266</v>
      </c>
      <c r="M833" s="408" t="s">
        <v>267</v>
      </c>
      <c r="N833" s="415" t="s">
        <v>316</v>
      </c>
      <c r="O833" s="416"/>
      <c r="P833" s="412" t="s">
        <v>281</v>
      </c>
      <c r="Q833" s="412" t="s">
        <v>309</v>
      </c>
      <c r="R833" s="412" t="s">
        <v>310</v>
      </c>
      <c r="S833" s="412" t="s">
        <v>311</v>
      </c>
      <c r="T833" s="414"/>
      <c r="U833" s="414"/>
      <c r="V833" s="414"/>
      <c r="W833" s="414"/>
      <c r="X833" s="414"/>
      <c r="Y833" s="414"/>
      <c r="Z833" s="412" t="s">
        <v>315</v>
      </c>
      <c r="AA833" s="414"/>
      <c r="AB833" s="414"/>
      <c r="AC833" s="414"/>
      <c r="AD833" s="414"/>
      <c r="AE833" s="415" t="s">
        <v>317</v>
      </c>
      <c r="AF833" s="416"/>
      <c r="AG833" s="408" t="s">
        <v>161</v>
      </c>
      <c r="AH833" s="412" t="s">
        <v>365</v>
      </c>
      <c r="AI833" s="412" t="s">
        <v>371</v>
      </c>
      <c r="AJ833" s="412" t="s">
        <v>369</v>
      </c>
      <c r="AK833" s="412" t="s">
        <v>370</v>
      </c>
      <c r="AL833" s="412" t="s">
        <v>372</v>
      </c>
      <c r="AM833" s="412" t="s">
        <v>373</v>
      </c>
      <c r="AN833" s="412" t="s">
        <v>374</v>
      </c>
      <c r="AO833" s="412" t="s">
        <v>375</v>
      </c>
      <c r="AP833" s="412" t="s">
        <v>283</v>
      </c>
      <c r="AQ833" s="412" t="s">
        <v>299</v>
      </c>
      <c r="AR833" s="412" t="s">
        <v>346</v>
      </c>
      <c r="AS833" s="412" t="s">
        <v>301</v>
      </c>
      <c r="AT833" s="412" t="s">
        <v>302</v>
      </c>
      <c r="AU833" s="412" t="s">
        <v>390</v>
      </c>
      <c r="AV833" s="412" t="str">
        <f>"Размер средств, исключаемых из НВВ на " &amp; god &amp; " год, в связи с неисполнением ИП"</f>
        <v>Размер средств, исключаемых из НВВ на 2020 год, в связи с неисполнением ИП</v>
      </c>
      <c r="AW833" s="285" t="str">
        <f>"Утверждено на " &amp; god &amp; " (план)"</f>
        <v>Утверждено на 2020 (план)</v>
      </c>
      <c r="AX833" s="285" t="str">
        <f>"Утверждено на " &amp; god &amp; " (корректировка)"</f>
        <v>Утверждено на 2020 (корректировка)</v>
      </c>
      <c r="AY833" s="285" t="str">
        <f>"Утверждено на " &amp; god &amp; " (дельта)"</f>
        <v>Утверждено на 2020 (дельта)</v>
      </c>
      <c r="AZ833" s="285" t="str">
        <f>"Утверждено на " &amp; god+1 &amp; " (план)"</f>
        <v>Утверждено на 2021 (план)</v>
      </c>
      <c r="BA833" s="285" t="str">
        <f>"Утверждено на " &amp; god+1 &amp; " (корректировка)"</f>
        <v>Утверждено на 2021 (корректировка)</v>
      </c>
      <c r="BB833" s="285" t="str">
        <f>"Утверждено на " &amp; god+1 &amp; " (дельта)"</f>
        <v>Утверждено на 2021 (дельта)</v>
      </c>
      <c r="BC833" s="285" t="str">
        <f>"Утверждено на " &amp; god+2 &amp; " (план)"</f>
        <v>Утверждено на 2022 (план)</v>
      </c>
      <c r="BD833" s="285" t="str">
        <f>"Утверждено на " &amp; god+2 &amp; " (корректировка)"</f>
        <v>Утверждено на 2022 (корректировка)</v>
      </c>
      <c r="BE833" s="285" t="str">
        <f>"Утверждено на " &amp; god+2 &amp; " (дельта)"</f>
        <v>Утверждено на 2022 (дельта)</v>
      </c>
      <c r="BF833" s="285" t="str">
        <f>"Утверждено на " &amp; god+3 &amp; " (план)"</f>
        <v>Утверждено на 2023 (план)</v>
      </c>
      <c r="BG833" s="285" t="str">
        <f>"Утверждено на " &amp; god+3 &amp; " (корректировка)"</f>
        <v>Утверждено на 2023 (корректировка)</v>
      </c>
      <c r="BH833" s="285" t="str">
        <f>"Утверждено на " &amp; god+3 &amp; " (дельта)"</f>
        <v>Утверждено на 2023 (дельта)</v>
      </c>
      <c r="BI833" s="285" t="str">
        <f>"Утверждено на " &amp; god+4 &amp; " (план)"</f>
        <v>Утверждено на 2024 (план)</v>
      </c>
      <c r="BJ833" s="285" t="str">
        <f>"Утверждено на " &amp; god+4 &amp; " (корректировка)"</f>
        <v>Утверждено на 2024 (корректировка)</v>
      </c>
      <c r="BK833" s="285" t="str">
        <f>"Утверждено на " &amp; god+4 &amp; " (дельта)"</f>
        <v>Утверждено на 2024 (дельта)</v>
      </c>
      <c r="BL833" s="412" t="str">
        <f>"Утверждено на оставшийся период (план)"</f>
        <v>Утверждено на оставшийся период (план)</v>
      </c>
      <c r="BM833" s="412" t="str">
        <f>"Утверждено на оставшийся период (корректировка)"</f>
        <v>Утверждено на оставшийся период (корректировка)</v>
      </c>
      <c r="BN833" s="412" t="str">
        <f>"Утверждено на оставшийся период (дельта)"</f>
        <v>Утверждено на оставшийся период (дельта)</v>
      </c>
      <c r="BO833" s="99"/>
    </row>
    <row r="834" spans="3:67" ht="24" customHeight="1">
      <c r="C834" s="45"/>
      <c r="D834" s="411"/>
      <c r="E834" s="411"/>
      <c r="F834" s="411"/>
      <c r="G834" s="409"/>
      <c r="H834" s="285" t="s">
        <v>157</v>
      </c>
      <c r="I834" s="285" t="s">
        <v>158</v>
      </c>
      <c r="J834" s="285" t="s">
        <v>159</v>
      </c>
      <c r="K834" s="409"/>
      <c r="L834" s="413"/>
      <c r="M834" s="409"/>
      <c r="N834" s="417"/>
      <c r="O834" s="418"/>
      <c r="P834" s="413"/>
      <c r="Q834" s="413"/>
      <c r="R834" s="413"/>
      <c r="S834" s="285" t="s">
        <v>157</v>
      </c>
      <c r="T834" s="285" t="s">
        <v>158</v>
      </c>
      <c r="U834" s="285" t="s">
        <v>159</v>
      </c>
      <c r="V834" s="285" t="s">
        <v>312</v>
      </c>
      <c r="W834" s="285" t="s">
        <v>159</v>
      </c>
      <c r="X834" s="285" t="s">
        <v>313</v>
      </c>
      <c r="Y834" s="285" t="s">
        <v>314</v>
      </c>
      <c r="Z834" s="285" t="s">
        <v>157</v>
      </c>
      <c r="AA834" s="285" t="s">
        <v>158</v>
      </c>
      <c r="AB834" s="285" t="s">
        <v>159</v>
      </c>
      <c r="AC834" s="285" t="s">
        <v>312</v>
      </c>
      <c r="AD834" s="285" t="s">
        <v>159</v>
      </c>
      <c r="AE834" s="417"/>
      <c r="AF834" s="418"/>
      <c r="AG834" s="409"/>
      <c r="AH834" s="413"/>
      <c r="AI834" s="413"/>
      <c r="AJ834" s="413"/>
      <c r="AK834" s="413"/>
      <c r="AL834" s="413"/>
      <c r="AM834" s="413"/>
      <c r="AN834" s="413"/>
      <c r="AO834" s="413"/>
      <c r="AP834" s="409"/>
      <c r="AQ834" s="413"/>
      <c r="AR834" s="413"/>
      <c r="AS834" s="413"/>
      <c r="AT834" s="413"/>
      <c r="AU834" s="413"/>
      <c r="AV834" s="413"/>
      <c r="AW834" s="285" t="s">
        <v>141</v>
      </c>
      <c r="AX834" s="285" t="s">
        <v>141</v>
      </c>
      <c r="AY834" s="285" t="s">
        <v>141</v>
      </c>
      <c r="AZ834" s="285" t="s">
        <v>141</v>
      </c>
      <c r="BA834" s="285" t="s">
        <v>141</v>
      </c>
      <c r="BB834" s="285" t="s">
        <v>141</v>
      </c>
      <c r="BC834" s="285" t="s">
        <v>141</v>
      </c>
      <c r="BD834" s="285" t="s">
        <v>141</v>
      </c>
      <c r="BE834" s="285" t="s">
        <v>141</v>
      </c>
      <c r="BF834" s="285" t="s">
        <v>141</v>
      </c>
      <c r="BG834" s="285" t="s">
        <v>141</v>
      </c>
      <c r="BH834" s="285" t="s">
        <v>141</v>
      </c>
      <c r="BI834" s="285" t="s">
        <v>141</v>
      </c>
      <c r="BJ834" s="285" t="s">
        <v>141</v>
      </c>
      <c r="BK834" s="285" t="s">
        <v>141</v>
      </c>
      <c r="BL834" s="413"/>
      <c r="BM834" s="413"/>
      <c r="BN834" s="413"/>
      <c r="BO834" s="99"/>
    </row>
    <row r="835" spans="3:67" ht="12.75" customHeight="1">
      <c r="C835" s="45"/>
      <c r="D835" s="108"/>
      <c r="E835" s="108"/>
      <c r="F835" s="108"/>
      <c r="G835" s="201" t="s">
        <v>141</v>
      </c>
      <c r="H835" s="287"/>
      <c r="I835" s="287"/>
      <c r="J835" s="287"/>
      <c r="K835" s="287"/>
      <c r="L835" s="287"/>
      <c r="M835" s="287"/>
      <c r="N835" s="287"/>
      <c r="O835" s="287"/>
      <c r="P835" s="287"/>
      <c r="Q835" s="287"/>
      <c r="R835" s="287"/>
      <c r="S835" s="287"/>
      <c r="T835" s="287"/>
      <c r="U835" s="287"/>
      <c r="V835" s="287"/>
      <c r="W835" s="287"/>
      <c r="X835" s="287"/>
      <c r="Y835" s="287"/>
      <c r="Z835" s="287"/>
      <c r="AA835" s="287"/>
      <c r="AB835" s="287"/>
      <c r="AC835" s="287"/>
      <c r="AD835" s="287"/>
      <c r="AE835" s="420"/>
      <c r="AF835" s="420"/>
      <c r="AG835" s="420"/>
      <c r="AH835" s="287"/>
      <c r="AI835" s="287"/>
      <c r="AJ835" s="287"/>
      <c r="AK835" s="287"/>
      <c r="AL835" s="287"/>
      <c r="AM835" s="287"/>
      <c r="AN835" s="287"/>
      <c r="AO835" s="287"/>
      <c r="AP835" s="287"/>
      <c r="AQ835" s="101">
        <f>SUMIF($BO836:$BO837,"&lt;&gt;1",AQ836:AQ837)</f>
        <v>0</v>
      </c>
      <c r="AR835" s="101">
        <f>SUMIF($BO836:$BO837,"&lt;&gt;1",AR836:AR837)</f>
        <v>0</v>
      </c>
      <c r="AS835" s="100">
        <f>AQ835-AR835</f>
        <v>0</v>
      </c>
      <c r="AT835" s="101">
        <f>SUMIF($BO836:$BO837,"&lt;&gt;1",AT836:AT837)</f>
        <v>0</v>
      </c>
      <c r="AU835" s="101">
        <f>SUMIF($BO836:$BO837,"&lt;&gt;1",AU836:AU837)</f>
        <v>0</v>
      </c>
      <c r="AV835" s="101">
        <f>SUMIF($BO836:$BO837,"&lt;&gt;1",AV836:AV837)</f>
        <v>0</v>
      </c>
      <c r="AW835" s="101">
        <f>SUMIF($BO836:$BO837,"&lt;&gt;1",AW836:AW837)</f>
        <v>0</v>
      </c>
      <c r="AX835" s="101">
        <f>SUMIF($BO836:$BO837,"&lt;&gt;1",AX836:AX837)</f>
        <v>0</v>
      </c>
      <c r="AY835" s="101">
        <f>AW835-AX835</f>
        <v>0</v>
      </c>
      <c r="AZ835" s="101">
        <f>SUMIF($BO836:$BO837,"&lt;&gt;1",AZ836:AZ837)</f>
        <v>0</v>
      </c>
      <c r="BA835" s="101">
        <f>SUMIF($BO836:$BO837,"&lt;&gt;1",BA836:BA837)</f>
        <v>0</v>
      </c>
      <c r="BB835" s="101">
        <f>AZ835-BA835</f>
        <v>0</v>
      </c>
      <c r="BC835" s="101">
        <f>SUMIF($BO836:$BO837,"&lt;&gt;1",BC836:BC837)</f>
        <v>0</v>
      </c>
      <c r="BD835" s="101">
        <f>SUMIF($BO836:$BO837,"&lt;&gt;1",BD836:BD837)</f>
        <v>0</v>
      </c>
      <c r="BE835" s="101">
        <f>BC835-BD835</f>
        <v>0</v>
      </c>
      <c r="BF835" s="101">
        <f>SUMIF($BO836:$BO837,"&lt;&gt;1",BF836:BF837)</f>
        <v>0</v>
      </c>
      <c r="BG835" s="101">
        <f>SUMIF($BO836:$BO837,"&lt;&gt;1",BG836:BG837)</f>
        <v>0</v>
      </c>
      <c r="BH835" s="101">
        <f>BF835-BG835</f>
        <v>0</v>
      </c>
      <c r="BI835" s="101">
        <f>SUMIF($BO836:$BO837,"&lt;&gt;1",BI836:BI837)</f>
        <v>0</v>
      </c>
      <c r="BJ835" s="101">
        <f>SUMIF($BO836:$BO837,"&lt;&gt;1",BJ836:BJ837)</f>
        <v>0</v>
      </c>
      <c r="BK835" s="101">
        <f>BI835-BJ835</f>
        <v>0</v>
      </c>
      <c r="BL835" s="101">
        <f>SUMIF($BO836:$BO837,"&lt;&gt;1",BL836:BL837)</f>
        <v>0</v>
      </c>
      <c r="BM835" s="101">
        <f>SUMIF($BO836:$BO837,"&lt;&gt;1",BM836:BM837)</f>
        <v>0</v>
      </c>
      <c r="BN835" s="100">
        <f>BL835-BM835</f>
        <v>0</v>
      </c>
      <c r="BO835" s="99"/>
    </row>
    <row r="836" spans="3:67" s="48" customFormat="1" ht="11.25" hidden="1" customHeight="1">
      <c r="C836" s="45"/>
      <c r="D836" s="98">
        <v>0</v>
      </c>
      <c r="E836" s="98"/>
      <c r="F836" s="98"/>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7"/>
      <c r="AL836" s="107"/>
      <c r="AM836" s="107"/>
      <c r="AN836" s="107"/>
      <c r="AO836" s="107"/>
      <c r="AP836" s="107"/>
      <c r="AQ836" s="107"/>
      <c r="AR836" s="107"/>
      <c r="AS836" s="107"/>
      <c r="AT836" s="107"/>
      <c r="AU836" s="107"/>
      <c r="AV836" s="107"/>
      <c r="AW836" s="107"/>
      <c r="AX836" s="107"/>
      <c r="AY836" s="107"/>
      <c r="AZ836" s="107"/>
      <c r="BA836" s="107"/>
      <c r="BB836" s="107"/>
      <c r="BC836" s="107"/>
      <c r="BD836" s="107"/>
      <c r="BE836" s="107"/>
      <c r="BF836" s="107"/>
      <c r="BG836" s="107"/>
      <c r="BH836" s="107"/>
      <c r="BI836" s="107"/>
      <c r="BJ836" s="107"/>
      <c r="BK836" s="107"/>
      <c r="BL836" s="107"/>
      <c r="BM836" s="107"/>
      <c r="BN836" s="114"/>
      <c r="BO836" s="99"/>
    </row>
    <row r="837" spans="3:67">
      <c r="C837" s="45"/>
      <c r="D837" s="140"/>
      <c r="E837" s="141" t="s">
        <v>284</v>
      </c>
      <c r="F837" s="141"/>
      <c r="G837" s="141"/>
      <c r="H837" s="141"/>
      <c r="I837" s="141"/>
      <c r="J837" s="141"/>
      <c r="K837" s="141"/>
      <c r="L837" s="141"/>
      <c r="M837" s="141"/>
      <c r="N837" s="141"/>
      <c r="O837" s="141"/>
      <c r="P837" s="141"/>
      <c r="Q837" s="141"/>
      <c r="R837" s="141"/>
      <c r="S837" s="141"/>
      <c r="T837" s="141"/>
      <c r="U837" s="141"/>
      <c r="V837" s="141"/>
      <c r="W837" s="141"/>
      <c r="X837" s="141"/>
      <c r="Y837" s="141"/>
      <c r="Z837" s="141"/>
      <c r="AA837" s="141"/>
      <c r="AB837" s="141"/>
      <c r="AC837" s="141"/>
      <c r="AD837" s="141"/>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c r="BO837" s="99"/>
    </row>
    <row r="838" spans="3:6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7"/>
      <c r="AL838" s="107"/>
      <c r="AM838" s="107"/>
      <c r="AN838" s="107"/>
      <c r="AO838" s="107"/>
      <c r="AP838" s="107"/>
      <c r="AQ838" s="107"/>
      <c r="AR838" s="107"/>
      <c r="AS838" s="107"/>
      <c r="AT838" s="107"/>
      <c r="AU838" s="107"/>
      <c r="AV838" s="107"/>
      <c r="AW838" s="107"/>
      <c r="AX838" s="107"/>
      <c r="AY838" s="107"/>
      <c r="AZ838" s="107"/>
      <c r="BA838" s="107"/>
      <c r="BB838" s="107"/>
      <c r="BC838" s="107"/>
      <c r="BD838" s="107"/>
      <c r="BE838" s="107"/>
      <c r="BF838" s="107"/>
      <c r="BG838" s="107"/>
      <c r="BH838" s="107"/>
      <c r="BI838" s="107"/>
      <c r="BJ838" s="107"/>
      <c r="BK838" s="107"/>
      <c r="BL838" s="107"/>
      <c r="BM838" s="107"/>
      <c r="BN838" s="114"/>
      <c r="BO838" s="48"/>
    </row>
  </sheetData>
  <sheetProtection algorithmName="SHA-512" hashValue="TCIEyUteq6Ksuf8PQHEm2K+B3EQuDj5Wb6P7gsyet3Kn5aCFqpDQiKoTGpae85hAmBVUvUl13CiMCYM6ElvDJg==" saltValue="0hJ956bubPqpBsYQKDvKog==" spinCount="100000" sheet="1" objects="1" scenarios="1" formatColumns="0" formatRows="0" autoFilter="0"/>
  <mergeCells count="4715">
    <mergeCell ref="BP455:BP458"/>
    <mergeCell ref="BQ455:BQ458"/>
    <mergeCell ref="BR455:BR458"/>
    <mergeCell ref="BT455:BT458"/>
    <mergeCell ref="BU455:BU458"/>
    <mergeCell ref="BV455:BV458"/>
    <mergeCell ref="BW455:BW458"/>
    <mergeCell ref="BX455:BX458"/>
    <mergeCell ref="P459:Q459"/>
    <mergeCell ref="V455:V458"/>
    <mergeCell ref="W455:W458"/>
    <mergeCell ref="X455:X458"/>
    <mergeCell ref="Y455:Y458"/>
    <mergeCell ref="Z455:Z458"/>
    <mergeCell ref="AA455:AA458"/>
    <mergeCell ref="AB455:AB458"/>
    <mergeCell ref="AC455:AC458"/>
    <mergeCell ref="AD455:AD458"/>
    <mergeCell ref="M454:M459"/>
    <mergeCell ref="N455:N458"/>
    <mergeCell ref="O455:O458"/>
    <mergeCell ref="P455:P458"/>
    <mergeCell ref="Q455:Q458"/>
    <mergeCell ref="R455:R458"/>
    <mergeCell ref="S455:S458"/>
    <mergeCell ref="T455:T458"/>
    <mergeCell ref="U455:U458"/>
    <mergeCell ref="D454:D459"/>
    <mergeCell ref="E454:E459"/>
    <mergeCell ref="F454:F459"/>
    <mergeCell ref="G454:G459"/>
    <mergeCell ref="H454:H459"/>
    <mergeCell ref="I454:I459"/>
    <mergeCell ref="J454:J459"/>
    <mergeCell ref="K454:K459"/>
    <mergeCell ref="L454:L459"/>
    <mergeCell ref="BP449:BP452"/>
    <mergeCell ref="BQ449:BQ452"/>
    <mergeCell ref="BR449:BR452"/>
    <mergeCell ref="BT449:BT452"/>
    <mergeCell ref="BU449:BU452"/>
    <mergeCell ref="BV449:BV452"/>
    <mergeCell ref="BW449:BW452"/>
    <mergeCell ref="BX449:BX452"/>
    <mergeCell ref="P453:Q453"/>
    <mergeCell ref="V449:V452"/>
    <mergeCell ref="W449:W452"/>
    <mergeCell ref="X449:X452"/>
    <mergeCell ref="Y449:Y452"/>
    <mergeCell ref="Z449:Z452"/>
    <mergeCell ref="AA449:AA452"/>
    <mergeCell ref="AB449:AB452"/>
    <mergeCell ref="AC449:AC452"/>
    <mergeCell ref="AD449:AD452"/>
    <mergeCell ref="M448:M453"/>
    <mergeCell ref="N449:N452"/>
    <mergeCell ref="O449:O452"/>
    <mergeCell ref="P449:P452"/>
    <mergeCell ref="Q449:Q452"/>
    <mergeCell ref="R449:R452"/>
    <mergeCell ref="S449:S452"/>
    <mergeCell ref="T449:T452"/>
    <mergeCell ref="U449:U452"/>
    <mergeCell ref="D448:D453"/>
    <mergeCell ref="E448:E453"/>
    <mergeCell ref="F448:F453"/>
    <mergeCell ref="G448:G453"/>
    <mergeCell ref="H448:H453"/>
    <mergeCell ref="I448:I453"/>
    <mergeCell ref="J448:J453"/>
    <mergeCell ref="K448:K453"/>
    <mergeCell ref="L448:L453"/>
    <mergeCell ref="BP443:BP446"/>
    <mergeCell ref="BQ443:BQ446"/>
    <mergeCell ref="BR443:BR446"/>
    <mergeCell ref="BT443:BT446"/>
    <mergeCell ref="BU443:BU446"/>
    <mergeCell ref="BV443:BV446"/>
    <mergeCell ref="BW443:BW446"/>
    <mergeCell ref="BX443:BX446"/>
    <mergeCell ref="P447:Q447"/>
    <mergeCell ref="V443:V446"/>
    <mergeCell ref="W443:W446"/>
    <mergeCell ref="X443:X446"/>
    <mergeCell ref="Y443:Y446"/>
    <mergeCell ref="Z443:Z446"/>
    <mergeCell ref="AA443:AA446"/>
    <mergeCell ref="AB443:AB446"/>
    <mergeCell ref="AC443:AC446"/>
    <mergeCell ref="AD443:AD446"/>
    <mergeCell ref="M442:M447"/>
    <mergeCell ref="N443:N446"/>
    <mergeCell ref="O443:O446"/>
    <mergeCell ref="P443:P446"/>
    <mergeCell ref="Q443:Q446"/>
    <mergeCell ref="R443:R446"/>
    <mergeCell ref="S443:S446"/>
    <mergeCell ref="T443:T446"/>
    <mergeCell ref="U443:U446"/>
    <mergeCell ref="D442:D447"/>
    <mergeCell ref="E442:E447"/>
    <mergeCell ref="F442:F447"/>
    <mergeCell ref="G442:G447"/>
    <mergeCell ref="H442:H447"/>
    <mergeCell ref="I442:I447"/>
    <mergeCell ref="J442:J447"/>
    <mergeCell ref="K442:K447"/>
    <mergeCell ref="L442:L447"/>
    <mergeCell ref="BP437:BP440"/>
    <mergeCell ref="BQ437:BQ440"/>
    <mergeCell ref="BR437:BR440"/>
    <mergeCell ref="BT437:BT440"/>
    <mergeCell ref="BU437:BU440"/>
    <mergeCell ref="BV437:BV440"/>
    <mergeCell ref="BW437:BW440"/>
    <mergeCell ref="BX437:BX440"/>
    <mergeCell ref="P441:Q441"/>
    <mergeCell ref="V437:V440"/>
    <mergeCell ref="W437:W440"/>
    <mergeCell ref="X437:X440"/>
    <mergeCell ref="Y437:Y440"/>
    <mergeCell ref="Z437:Z440"/>
    <mergeCell ref="AA437:AA440"/>
    <mergeCell ref="AB437:AB440"/>
    <mergeCell ref="AC437:AC440"/>
    <mergeCell ref="AD437:AD440"/>
    <mergeCell ref="M436:M441"/>
    <mergeCell ref="N437:N440"/>
    <mergeCell ref="O437:O440"/>
    <mergeCell ref="P437:P440"/>
    <mergeCell ref="Q437:Q440"/>
    <mergeCell ref="R437:R440"/>
    <mergeCell ref="S437:S440"/>
    <mergeCell ref="T437:T440"/>
    <mergeCell ref="U437:U440"/>
    <mergeCell ref="D436:D441"/>
    <mergeCell ref="E436:E441"/>
    <mergeCell ref="F436:F441"/>
    <mergeCell ref="G436:G441"/>
    <mergeCell ref="H436:H441"/>
    <mergeCell ref="I436:I441"/>
    <mergeCell ref="J436:J441"/>
    <mergeCell ref="K436:K441"/>
    <mergeCell ref="L436:L441"/>
    <mergeCell ref="BP431:BP434"/>
    <mergeCell ref="BQ431:BQ434"/>
    <mergeCell ref="BR431:BR434"/>
    <mergeCell ref="BT431:BT434"/>
    <mergeCell ref="BU431:BU434"/>
    <mergeCell ref="BV431:BV434"/>
    <mergeCell ref="BW431:BW434"/>
    <mergeCell ref="BX431:BX434"/>
    <mergeCell ref="P435:Q435"/>
    <mergeCell ref="V431:V434"/>
    <mergeCell ref="W431:W434"/>
    <mergeCell ref="X431:X434"/>
    <mergeCell ref="Y431:Y434"/>
    <mergeCell ref="Z431:Z434"/>
    <mergeCell ref="AA431:AA434"/>
    <mergeCell ref="AB431:AB434"/>
    <mergeCell ref="AC431:AC434"/>
    <mergeCell ref="AD431:AD434"/>
    <mergeCell ref="M430:M435"/>
    <mergeCell ref="N431:N434"/>
    <mergeCell ref="O431:O434"/>
    <mergeCell ref="P431:P434"/>
    <mergeCell ref="Q431:Q434"/>
    <mergeCell ref="R431:R434"/>
    <mergeCell ref="S431:S434"/>
    <mergeCell ref="T431:T434"/>
    <mergeCell ref="U431:U434"/>
    <mergeCell ref="D430:D435"/>
    <mergeCell ref="E430:E435"/>
    <mergeCell ref="F430:F435"/>
    <mergeCell ref="G430:G435"/>
    <mergeCell ref="H430:H435"/>
    <mergeCell ref="I430:I435"/>
    <mergeCell ref="J430:J435"/>
    <mergeCell ref="K430:K435"/>
    <mergeCell ref="L430:L435"/>
    <mergeCell ref="BP425:BP428"/>
    <mergeCell ref="BQ425:BQ428"/>
    <mergeCell ref="BR425:BR428"/>
    <mergeCell ref="BT425:BT428"/>
    <mergeCell ref="BU425:BU428"/>
    <mergeCell ref="BV425:BV428"/>
    <mergeCell ref="BW425:BW428"/>
    <mergeCell ref="BX425:BX428"/>
    <mergeCell ref="P429:Q429"/>
    <mergeCell ref="V425:V428"/>
    <mergeCell ref="W425:W428"/>
    <mergeCell ref="X425:X428"/>
    <mergeCell ref="Y425:Y428"/>
    <mergeCell ref="Z425:Z428"/>
    <mergeCell ref="AA425:AA428"/>
    <mergeCell ref="AB425:AB428"/>
    <mergeCell ref="AC425:AC428"/>
    <mergeCell ref="AD425:AD428"/>
    <mergeCell ref="M424:M429"/>
    <mergeCell ref="N425:N428"/>
    <mergeCell ref="O425:O428"/>
    <mergeCell ref="P425:P428"/>
    <mergeCell ref="Q425:Q428"/>
    <mergeCell ref="R425:R428"/>
    <mergeCell ref="S425:S428"/>
    <mergeCell ref="T425:T428"/>
    <mergeCell ref="U425:U428"/>
    <mergeCell ref="D424:D429"/>
    <mergeCell ref="E424:E429"/>
    <mergeCell ref="F424:F429"/>
    <mergeCell ref="G424:G429"/>
    <mergeCell ref="H424:H429"/>
    <mergeCell ref="I424:I429"/>
    <mergeCell ref="J424:J429"/>
    <mergeCell ref="K424:K429"/>
    <mergeCell ref="L424:L429"/>
    <mergeCell ref="BP419:BP422"/>
    <mergeCell ref="BQ419:BQ422"/>
    <mergeCell ref="BR419:BR422"/>
    <mergeCell ref="BT419:BT422"/>
    <mergeCell ref="BU419:BU422"/>
    <mergeCell ref="BV419:BV422"/>
    <mergeCell ref="BW419:BW422"/>
    <mergeCell ref="BX419:BX422"/>
    <mergeCell ref="P423:Q423"/>
    <mergeCell ref="V419:V422"/>
    <mergeCell ref="W419:W422"/>
    <mergeCell ref="X419:X422"/>
    <mergeCell ref="Y419:Y422"/>
    <mergeCell ref="Z419:Z422"/>
    <mergeCell ref="AA419:AA422"/>
    <mergeCell ref="AB419:AB422"/>
    <mergeCell ref="AC419:AC422"/>
    <mergeCell ref="AD419:AD422"/>
    <mergeCell ref="M418:M423"/>
    <mergeCell ref="N419:N422"/>
    <mergeCell ref="O419:O422"/>
    <mergeCell ref="P419:P422"/>
    <mergeCell ref="Q419:Q422"/>
    <mergeCell ref="R419:R422"/>
    <mergeCell ref="S419:S422"/>
    <mergeCell ref="T419:T422"/>
    <mergeCell ref="U419:U422"/>
    <mergeCell ref="D418:D423"/>
    <mergeCell ref="E418:E423"/>
    <mergeCell ref="F418:F423"/>
    <mergeCell ref="G418:G423"/>
    <mergeCell ref="H418:H423"/>
    <mergeCell ref="I418:I423"/>
    <mergeCell ref="J418:J423"/>
    <mergeCell ref="K418:K423"/>
    <mergeCell ref="L418:L423"/>
    <mergeCell ref="BP413:BP416"/>
    <mergeCell ref="BQ413:BQ416"/>
    <mergeCell ref="BR413:BR416"/>
    <mergeCell ref="BT413:BT416"/>
    <mergeCell ref="BU413:BU416"/>
    <mergeCell ref="BV413:BV416"/>
    <mergeCell ref="BW413:BW416"/>
    <mergeCell ref="BX413:BX416"/>
    <mergeCell ref="P417:Q417"/>
    <mergeCell ref="V413:V416"/>
    <mergeCell ref="W413:W416"/>
    <mergeCell ref="X413:X416"/>
    <mergeCell ref="Y413:Y416"/>
    <mergeCell ref="Z413:Z416"/>
    <mergeCell ref="AA413:AA416"/>
    <mergeCell ref="AB413:AB416"/>
    <mergeCell ref="AC413:AC416"/>
    <mergeCell ref="AD413:AD416"/>
    <mergeCell ref="M412:M417"/>
    <mergeCell ref="N413:N416"/>
    <mergeCell ref="O413:O416"/>
    <mergeCell ref="P413:P416"/>
    <mergeCell ref="Q413:Q416"/>
    <mergeCell ref="R413:R416"/>
    <mergeCell ref="S413:S416"/>
    <mergeCell ref="T413:T416"/>
    <mergeCell ref="U413:U416"/>
    <mergeCell ref="D412:D417"/>
    <mergeCell ref="E412:E417"/>
    <mergeCell ref="F412:F417"/>
    <mergeCell ref="G412:G417"/>
    <mergeCell ref="H412:H417"/>
    <mergeCell ref="I412:I417"/>
    <mergeCell ref="J412:J417"/>
    <mergeCell ref="K412:K417"/>
    <mergeCell ref="L412:L417"/>
    <mergeCell ref="BP407:BP410"/>
    <mergeCell ref="BQ407:BQ410"/>
    <mergeCell ref="BR407:BR410"/>
    <mergeCell ref="BT407:BT410"/>
    <mergeCell ref="BU407:BU410"/>
    <mergeCell ref="BV407:BV410"/>
    <mergeCell ref="BW407:BW410"/>
    <mergeCell ref="BX407:BX410"/>
    <mergeCell ref="P411:Q411"/>
    <mergeCell ref="V407:V410"/>
    <mergeCell ref="W407:W410"/>
    <mergeCell ref="X407:X410"/>
    <mergeCell ref="Y407:Y410"/>
    <mergeCell ref="Z407:Z410"/>
    <mergeCell ref="AA407:AA410"/>
    <mergeCell ref="AB407:AB410"/>
    <mergeCell ref="AC407:AC410"/>
    <mergeCell ref="AD407:AD410"/>
    <mergeCell ref="M406:M411"/>
    <mergeCell ref="N407:N410"/>
    <mergeCell ref="O407:O410"/>
    <mergeCell ref="P407:P410"/>
    <mergeCell ref="Q407:Q410"/>
    <mergeCell ref="R407:R410"/>
    <mergeCell ref="S407:S410"/>
    <mergeCell ref="T407:T410"/>
    <mergeCell ref="U407:U410"/>
    <mergeCell ref="D406:D411"/>
    <mergeCell ref="E406:E411"/>
    <mergeCell ref="F406:F411"/>
    <mergeCell ref="G406:G411"/>
    <mergeCell ref="H406:H411"/>
    <mergeCell ref="I406:I411"/>
    <mergeCell ref="J406:J411"/>
    <mergeCell ref="K406:K411"/>
    <mergeCell ref="L406:L411"/>
    <mergeCell ref="BP401:BP404"/>
    <mergeCell ref="BQ401:BQ404"/>
    <mergeCell ref="BR401:BR404"/>
    <mergeCell ref="BT401:BT404"/>
    <mergeCell ref="BU401:BU404"/>
    <mergeCell ref="BV401:BV404"/>
    <mergeCell ref="BW401:BW404"/>
    <mergeCell ref="BX401:BX404"/>
    <mergeCell ref="P405:Q405"/>
    <mergeCell ref="V401:V404"/>
    <mergeCell ref="W401:W404"/>
    <mergeCell ref="X401:X404"/>
    <mergeCell ref="Y401:Y404"/>
    <mergeCell ref="Z401:Z404"/>
    <mergeCell ref="AA401:AA404"/>
    <mergeCell ref="AB401:AB404"/>
    <mergeCell ref="AC401:AC404"/>
    <mergeCell ref="AD401:AD404"/>
    <mergeCell ref="M400:M405"/>
    <mergeCell ref="N401:N404"/>
    <mergeCell ref="O401:O404"/>
    <mergeCell ref="P401:P404"/>
    <mergeCell ref="Q401:Q404"/>
    <mergeCell ref="R401:R404"/>
    <mergeCell ref="S401:S404"/>
    <mergeCell ref="T401:T404"/>
    <mergeCell ref="U401:U404"/>
    <mergeCell ref="D400:D405"/>
    <mergeCell ref="E400:E405"/>
    <mergeCell ref="F400:F405"/>
    <mergeCell ref="G400:G405"/>
    <mergeCell ref="H400:H405"/>
    <mergeCell ref="I400:I405"/>
    <mergeCell ref="J400:J405"/>
    <mergeCell ref="K400:K405"/>
    <mergeCell ref="L400:L405"/>
    <mergeCell ref="BP395:BP398"/>
    <mergeCell ref="BQ395:BQ398"/>
    <mergeCell ref="BR395:BR398"/>
    <mergeCell ref="BT395:BT398"/>
    <mergeCell ref="BU395:BU398"/>
    <mergeCell ref="BV395:BV398"/>
    <mergeCell ref="BW395:BW398"/>
    <mergeCell ref="BX395:BX398"/>
    <mergeCell ref="P399:Q399"/>
    <mergeCell ref="V395:V398"/>
    <mergeCell ref="W395:W398"/>
    <mergeCell ref="X395:X398"/>
    <mergeCell ref="Y395:Y398"/>
    <mergeCell ref="Z395:Z398"/>
    <mergeCell ref="AA395:AA398"/>
    <mergeCell ref="AB395:AB398"/>
    <mergeCell ref="AC395:AC398"/>
    <mergeCell ref="AD395:AD398"/>
    <mergeCell ref="M394:M399"/>
    <mergeCell ref="N395:N398"/>
    <mergeCell ref="O395:O398"/>
    <mergeCell ref="P395:P398"/>
    <mergeCell ref="Q395:Q398"/>
    <mergeCell ref="R395:R398"/>
    <mergeCell ref="S395:S398"/>
    <mergeCell ref="T395:T398"/>
    <mergeCell ref="U395:U398"/>
    <mergeCell ref="D394:D399"/>
    <mergeCell ref="E394:E399"/>
    <mergeCell ref="F394:F399"/>
    <mergeCell ref="G394:G399"/>
    <mergeCell ref="H394:H399"/>
    <mergeCell ref="I394:I399"/>
    <mergeCell ref="J394:J399"/>
    <mergeCell ref="K394:K399"/>
    <mergeCell ref="L394:L399"/>
    <mergeCell ref="BP389:BP392"/>
    <mergeCell ref="BQ389:BQ392"/>
    <mergeCell ref="BR389:BR392"/>
    <mergeCell ref="BT389:BT392"/>
    <mergeCell ref="BU389:BU392"/>
    <mergeCell ref="BV389:BV392"/>
    <mergeCell ref="BW389:BW392"/>
    <mergeCell ref="BX389:BX392"/>
    <mergeCell ref="P393:Q393"/>
    <mergeCell ref="V389:V392"/>
    <mergeCell ref="W389:W392"/>
    <mergeCell ref="X389:X392"/>
    <mergeCell ref="Y389:Y392"/>
    <mergeCell ref="Z389:Z392"/>
    <mergeCell ref="AA389:AA392"/>
    <mergeCell ref="AB389:AB392"/>
    <mergeCell ref="AC389:AC392"/>
    <mergeCell ref="AD389:AD392"/>
    <mergeCell ref="M388:M393"/>
    <mergeCell ref="N389:N392"/>
    <mergeCell ref="O389:O392"/>
    <mergeCell ref="P389:P392"/>
    <mergeCell ref="Q389:Q392"/>
    <mergeCell ref="R389:R392"/>
    <mergeCell ref="S389:S392"/>
    <mergeCell ref="T389:T392"/>
    <mergeCell ref="U389:U392"/>
    <mergeCell ref="D388:D393"/>
    <mergeCell ref="E388:E393"/>
    <mergeCell ref="F388:F393"/>
    <mergeCell ref="G388:G393"/>
    <mergeCell ref="H388:H393"/>
    <mergeCell ref="I388:I393"/>
    <mergeCell ref="J388:J393"/>
    <mergeCell ref="K388:K393"/>
    <mergeCell ref="L388:L393"/>
    <mergeCell ref="BP383:BP386"/>
    <mergeCell ref="BQ383:BQ386"/>
    <mergeCell ref="BR383:BR386"/>
    <mergeCell ref="BT383:BT386"/>
    <mergeCell ref="BU383:BU386"/>
    <mergeCell ref="BV383:BV386"/>
    <mergeCell ref="BW383:BW386"/>
    <mergeCell ref="BX383:BX386"/>
    <mergeCell ref="P387:Q387"/>
    <mergeCell ref="V383:V386"/>
    <mergeCell ref="W383:W386"/>
    <mergeCell ref="X383:X386"/>
    <mergeCell ref="Y383:Y386"/>
    <mergeCell ref="Z383:Z386"/>
    <mergeCell ref="AA383:AA386"/>
    <mergeCell ref="AB383:AB386"/>
    <mergeCell ref="AC383:AC386"/>
    <mergeCell ref="AD383:AD386"/>
    <mergeCell ref="M382:M387"/>
    <mergeCell ref="N383:N386"/>
    <mergeCell ref="O383:O386"/>
    <mergeCell ref="P383:P386"/>
    <mergeCell ref="Q383:Q386"/>
    <mergeCell ref="R383:R386"/>
    <mergeCell ref="S383:S386"/>
    <mergeCell ref="T383:T386"/>
    <mergeCell ref="U383:U386"/>
    <mergeCell ref="D382:D387"/>
    <mergeCell ref="E382:E387"/>
    <mergeCell ref="F382:F387"/>
    <mergeCell ref="G382:G387"/>
    <mergeCell ref="H382:H387"/>
    <mergeCell ref="I382:I387"/>
    <mergeCell ref="J382:J387"/>
    <mergeCell ref="K382:K387"/>
    <mergeCell ref="L382:L387"/>
    <mergeCell ref="BP377:BP380"/>
    <mergeCell ref="BQ377:BQ380"/>
    <mergeCell ref="BR377:BR380"/>
    <mergeCell ref="BT377:BT380"/>
    <mergeCell ref="BU377:BU380"/>
    <mergeCell ref="BV377:BV380"/>
    <mergeCell ref="BW377:BW380"/>
    <mergeCell ref="BX377:BX380"/>
    <mergeCell ref="P381:Q381"/>
    <mergeCell ref="V377:V380"/>
    <mergeCell ref="W377:W380"/>
    <mergeCell ref="X377:X380"/>
    <mergeCell ref="Y377:Y380"/>
    <mergeCell ref="Z377:Z380"/>
    <mergeCell ref="AA377:AA380"/>
    <mergeCell ref="AB377:AB380"/>
    <mergeCell ref="AC377:AC380"/>
    <mergeCell ref="AD377:AD380"/>
    <mergeCell ref="M376:M381"/>
    <mergeCell ref="N377:N380"/>
    <mergeCell ref="O377:O380"/>
    <mergeCell ref="P377:P380"/>
    <mergeCell ref="Q377:Q380"/>
    <mergeCell ref="R377:R380"/>
    <mergeCell ref="S377:S380"/>
    <mergeCell ref="T377:T380"/>
    <mergeCell ref="U377:U380"/>
    <mergeCell ref="D376:D381"/>
    <mergeCell ref="E376:E381"/>
    <mergeCell ref="F376:F381"/>
    <mergeCell ref="G376:G381"/>
    <mergeCell ref="H376:H381"/>
    <mergeCell ref="I376:I381"/>
    <mergeCell ref="J376:J381"/>
    <mergeCell ref="K376:K381"/>
    <mergeCell ref="L376:L381"/>
    <mergeCell ref="BP371:BP374"/>
    <mergeCell ref="BQ371:BQ374"/>
    <mergeCell ref="BR371:BR374"/>
    <mergeCell ref="BT371:BT374"/>
    <mergeCell ref="BU371:BU374"/>
    <mergeCell ref="BV371:BV374"/>
    <mergeCell ref="BW371:BW374"/>
    <mergeCell ref="BX371:BX374"/>
    <mergeCell ref="P375:Q375"/>
    <mergeCell ref="V371:V374"/>
    <mergeCell ref="W371:W374"/>
    <mergeCell ref="X371:X374"/>
    <mergeCell ref="Y371:Y374"/>
    <mergeCell ref="Z371:Z374"/>
    <mergeCell ref="AA371:AA374"/>
    <mergeCell ref="AB371:AB374"/>
    <mergeCell ref="AC371:AC374"/>
    <mergeCell ref="AD371:AD374"/>
    <mergeCell ref="M370:M375"/>
    <mergeCell ref="N371:N374"/>
    <mergeCell ref="O371:O374"/>
    <mergeCell ref="P371:P374"/>
    <mergeCell ref="Q371:Q374"/>
    <mergeCell ref="R371:R374"/>
    <mergeCell ref="S371:S374"/>
    <mergeCell ref="T371:T374"/>
    <mergeCell ref="U371:U374"/>
    <mergeCell ref="D370:D375"/>
    <mergeCell ref="E370:E375"/>
    <mergeCell ref="F370:F375"/>
    <mergeCell ref="G370:G375"/>
    <mergeCell ref="H370:H375"/>
    <mergeCell ref="I370:I375"/>
    <mergeCell ref="J370:J375"/>
    <mergeCell ref="K370:K375"/>
    <mergeCell ref="L370:L375"/>
    <mergeCell ref="BP365:BP368"/>
    <mergeCell ref="BQ365:BQ368"/>
    <mergeCell ref="BR365:BR368"/>
    <mergeCell ref="BT365:BT368"/>
    <mergeCell ref="BU365:BU368"/>
    <mergeCell ref="BV365:BV368"/>
    <mergeCell ref="BW365:BW368"/>
    <mergeCell ref="BX365:BX368"/>
    <mergeCell ref="P369:Q369"/>
    <mergeCell ref="V365:V368"/>
    <mergeCell ref="W365:W368"/>
    <mergeCell ref="X365:X368"/>
    <mergeCell ref="Y365:Y368"/>
    <mergeCell ref="Z365:Z368"/>
    <mergeCell ref="AA365:AA368"/>
    <mergeCell ref="AB365:AB368"/>
    <mergeCell ref="AC365:AC368"/>
    <mergeCell ref="AD365:AD368"/>
    <mergeCell ref="M364:M369"/>
    <mergeCell ref="N365:N368"/>
    <mergeCell ref="O365:O368"/>
    <mergeCell ref="P365:P368"/>
    <mergeCell ref="Q365:Q368"/>
    <mergeCell ref="R365:R368"/>
    <mergeCell ref="S365:S368"/>
    <mergeCell ref="T365:T368"/>
    <mergeCell ref="U365:U368"/>
    <mergeCell ref="D364:D369"/>
    <mergeCell ref="E364:E369"/>
    <mergeCell ref="F364:F369"/>
    <mergeCell ref="G364:G369"/>
    <mergeCell ref="H364:H369"/>
    <mergeCell ref="I364:I369"/>
    <mergeCell ref="J364:J369"/>
    <mergeCell ref="K364:K369"/>
    <mergeCell ref="L364:L369"/>
    <mergeCell ref="BP359:BP362"/>
    <mergeCell ref="BQ359:BQ362"/>
    <mergeCell ref="BR359:BR362"/>
    <mergeCell ref="BT359:BT362"/>
    <mergeCell ref="BU359:BU362"/>
    <mergeCell ref="BV359:BV362"/>
    <mergeCell ref="BW359:BW362"/>
    <mergeCell ref="BX359:BX362"/>
    <mergeCell ref="P363:Q363"/>
    <mergeCell ref="V359:V362"/>
    <mergeCell ref="W359:W362"/>
    <mergeCell ref="X359:X362"/>
    <mergeCell ref="Y359:Y362"/>
    <mergeCell ref="Z359:Z362"/>
    <mergeCell ref="AA359:AA362"/>
    <mergeCell ref="AB359:AB362"/>
    <mergeCell ref="AC359:AC362"/>
    <mergeCell ref="AD359:AD362"/>
    <mergeCell ref="M358:M363"/>
    <mergeCell ref="N359:N362"/>
    <mergeCell ref="O359:O362"/>
    <mergeCell ref="P359:P362"/>
    <mergeCell ref="Q359:Q362"/>
    <mergeCell ref="R359:R362"/>
    <mergeCell ref="S359:S362"/>
    <mergeCell ref="T359:T362"/>
    <mergeCell ref="U359:U362"/>
    <mergeCell ref="D358:D363"/>
    <mergeCell ref="E358:E363"/>
    <mergeCell ref="F358:F363"/>
    <mergeCell ref="G358:G363"/>
    <mergeCell ref="H358:H363"/>
    <mergeCell ref="I358:I363"/>
    <mergeCell ref="J358:J363"/>
    <mergeCell ref="K358:K363"/>
    <mergeCell ref="L358:L363"/>
    <mergeCell ref="BP353:BP356"/>
    <mergeCell ref="BQ353:BQ356"/>
    <mergeCell ref="BR353:BR356"/>
    <mergeCell ref="BT353:BT356"/>
    <mergeCell ref="BU353:BU356"/>
    <mergeCell ref="BV353:BV356"/>
    <mergeCell ref="BW353:BW356"/>
    <mergeCell ref="BX353:BX356"/>
    <mergeCell ref="P357:Q357"/>
    <mergeCell ref="V353:V356"/>
    <mergeCell ref="W353:W356"/>
    <mergeCell ref="X353:X356"/>
    <mergeCell ref="Y353:Y356"/>
    <mergeCell ref="Z353:Z356"/>
    <mergeCell ref="AA353:AA356"/>
    <mergeCell ref="AB353:AB356"/>
    <mergeCell ref="AC353:AC356"/>
    <mergeCell ref="AD353:AD356"/>
    <mergeCell ref="M352:M357"/>
    <mergeCell ref="N353:N356"/>
    <mergeCell ref="O353:O356"/>
    <mergeCell ref="P353:P356"/>
    <mergeCell ref="Q353:Q356"/>
    <mergeCell ref="R353:R356"/>
    <mergeCell ref="S353:S356"/>
    <mergeCell ref="T353:T356"/>
    <mergeCell ref="U353:U356"/>
    <mergeCell ref="D352:D357"/>
    <mergeCell ref="E352:E357"/>
    <mergeCell ref="F352:F357"/>
    <mergeCell ref="G352:G357"/>
    <mergeCell ref="H352:H357"/>
    <mergeCell ref="I352:I357"/>
    <mergeCell ref="J352:J357"/>
    <mergeCell ref="K352:K357"/>
    <mergeCell ref="L352:L357"/>
    <mergeCell ref="BP347:BP350"/>
    <mergeCell ref="BQ347:BQ350"/>
    <mergeCell ref="BR347:BR350"/>
    <mergeCell ref="BT347:BT350"/>
    <mergeCell ref="BU347:BU350"/>
    <mergeCell ref="BV347:BV350"/>
    <mergeCell ref="BW347:BW350"/>
    <mergeCell ref="BX347:BX350"/>
    <mergeCell ref="P351:Q351"/>
    <mergeCell ref="V347:V350"/>
    <mergeCell ref="W347:W350"/>
    <mergeCell ref="X347:X350"/>
    <mergeCell ref="Y347:Y350"/>
    <mergeCell ref="Z347:Z350"/>
    <mergeCell ref="AA347:AA350"/>
    <mergeCell ref="AB347:AB350"/>
    <mergeCell ref="AC347:AC350"/>
    <mergeCell ref="AD347:AD350"/>
    <mergeCell ref="M346:M351"/>
    <mergeCell ref="N347:N350"/>
    <mergeCell ref="O347:O350"/>
    <mergeCell ref="P347:P350"/>
    <mergeCell ref="Q347:Q350"/>
    <mergeCell ref="R347:R350"/>
    <mergeCell ref="S347:S350"/>
    <mergeCell ref="T347:T350"/>
    <mergeCell ref="U347:U350"/>
    <mergeCell ref="D346:D351"/>
    <mergeCell ref="E346:E351"/>
    <mergeCell ref="F346:F351"/>
    <mergeCell ref="G346:G351"/>
    <mergeCell ref="H346:H351"/>
    <mergeCell ref="I346:I351"/>
    <mergeCell ref="J346:J351"/>
    <mergeCell ref="K346:K351"/>
    <mergeCell ref="L346:L351"/>
    <mergeCell ref="BP341:BP344"/>
    <mergeCell ref="BQ341:BQ344"/>
    <mergeCell ref="BR341:BR344"/>
    <mergeCell ref="BT341:BT344"/>
    <mergeCell ref="BU341:BU344"/>
    <mergeCell ref="BV341:BV344"/>
    <mergeCell ref="BW341:BW344"/>
    <mergeCell ref="BX341:BX344"/>
    <mergeCell ref="P345:Q345"/>
    <mergeCell ref="V341:V344"/>
    <mergeCell ref="W341:W344"/>
    <mergeCell ref="X341:X344"/>
    <mergeCell ref="Y341:Y344"/>
    <mergeCell ref="Z341:Z344"/>
    <mergeCell ref="AA341:AA344"/>
    <mergeCell ref="AB341:AB344"/>
    <mergeCell ref="AC341:AC344"/>
    <mergeCell ref="AD341:AD344"/>
    <mergeCell ref="M340:M345"/>
    <mergeCell ref="N341:N344"/>
    <mergeCell ref="O341:O344"/>
    <mergeCell ref="P341:P344"/>
    <mergeCell ref="Q341:Q344"/>
    <mergeCell ref="R341:R344"/>
    <mergeCell ref="S341:S344"/>
    <mergeCell ref="T341:T344"/>
    <mergeCell ref="U341:U344"/>
    <mergeCell ref="D340:D345"/>
    <mergeCell ref="E340:E345"/>
    <mergeCell ref="F340:F345"/>
    <mergeCell ref="G340:G345"/>
    <mergeCell ref="H340:H345"/>
    <mergeCell ref="I340:I345"/>
    <mergeCell ref="J340:J345"/>
    <mergeCell ref="K340:K345"/>
    <mergeCell ref="L340:L345"/>
    <mergeCell ref="BP335:BP338"/>
    <mergeCell ref="BQ335:BQ338"/>
    <mergeCell ref="BR335:BR338"/>
    <mergeCell ref="BT335:BT338"/>
    <mergeCell ref="BU335:BU338"/>
    <mergeCell ref="BV335:BV338"/>
    <mergeCell ref="BW335:BW338"/>
    <mergeCell ref="BX335:BX338"/>
    <mergeCell ref="P339:Q339"/>
    <mergeCell ref="V335:V338"/>
    <mergeCell ref="W335:W338"/>
    <mergeCell ref="X335:X338"/>
    <mergeCell ref="Y335:Y338"/>
    <mergeCell ref="Z335:Z338"/>
    <mergeCell ref="AA335:AA338"/>
    <mergeCell ref="AB335:AB338"/>
    <mergeCell ref="AC335:AC338"/>
    <mergeCell ref="AD335:AD338"/>
    <mergeCell ref="M334:M339"/>
    <mergeCell ref="N335:N338"/>
    <mergeCell ref="O335:O338"/>
    <mergeCell ref="P335:P338"/>
    <mergeCell ref="Q335:Q338"/>
    <mergeCell ref="R335:R338"/>
    <mergeCell ref="S335:S338"/>
    <mergeCell ref="T335:T338"/>
    <mergeCell ref="U335:U338"/>
    <mergeCell ref="D334:D339"/>
    <mergeCell ref="E334:E339"/>
    <mergeCell ref="F334:F339"/>
    <mergeCell ref="G334:G339"/>
    <mergeCell ref="H334:H339"/>
    <mergeCell ref="I334:I339"/>
    <mergeCell ref="J334:J339"/>
    <mergeCell ref="K334:K339"/>
    <mergeCell ref="L334:L339"/>
    <mergeCell ref="BP329:BP332"/>
    <mergeCell ref="BQ329:BQ332"/>
    <mergeCell ref="BR329:BR332"/>
    <mergeCell ref="BT329:BT332"/>
    <mergeCell ref="BU329:BU332"/>
    <mergeCell ref="BV329:BV332"/>
    <mergeCell ref="BW329:BW332"/>
    <mergeCell ref="BX329:BX332"/>
    <mergeCell ref="P333:Q333"/>
    <mergeCell ref="V329:V332"/>
    <mergeCell ref="W329:W332"/>
    <mergeCell ref="X329:X332"/>
    <mergeCell ref="Y329:Y332"/>
    <mergeCell ref="Z329:Z332"/>
    <mergeCell ref="AA329:AA332"/>
    <mergeCell ref="AB329:AB332"/>
    <mergeCell ref="AC329:AC332"/>
    <mergeCell ref="AD329:AD332"/>
    <mergeCell ref="M328:M333"/>
    <mergeCell ref="N329:N332"/>
    <mergeCell ref="O329:O332"/>
    <mergeCell ref="P329:P332"/>
    <mergeCell ref="Q329:Q332"/>
    <mergeCell ref="R329:R332"/>
    <mergeCell ref="S329:S332"/>
    <mergeCell ref="T329:T332"/>
    <mergeCell ref="U329:U332"/>
    <mergeCell ref="D328:D333"/>
    <mergeCell ref="E328:E333"/>
    <mergeCell ref="F328:F333"/>
    <mergeCell ref="G328:G333"/>
    <mergeCell ref="H328:H333"/>
    <mergeCell ref="I328:I333"/>
    <mergeCell ref="J328:J333"/>
    <mergeCell ref="K328:K333"/>
    <mergeCell ref="L328:L333"/>
    <mergeCell ref="BP323:BP326"/>
    <mergeCell ref="BQ323:BQ326"/>
    <mergeCell ref="BR323:BR326"/>
    <mergeCell ref="BT323:BT326"/>
    <mergeCell ref="BU323:BU326"/>
    <mergeCell ref="BV323:BV326"/>
    <mergeCell ref="BW323:BW326"/>
    <mergeCell ref="BX323:BX326"/>
    <mergeCell ref="P327:Q327"/>
    <mergeCell ref="V323:V326"/>
    <mergeCell ref="W323:W326"/>
    <mergeCell ref="X323:X326"/>
    <mergeCell ref="Y323:Y326"/>
    <mergeCell ref="Z323:Z326"/>
    <mergeCell ref="AA323:AA326"/>
    <mergeCell ref="AB323:AB326"/>
    <mergeCell ref="AC323:AC326"/>
    <mergeCell ref="AD323:AD326"/>
    <mergeCell ref="M322:M327"/>
    <mergeCell ref="N323:N326"/>
    <mergeCell ref="O323:O326"/>
    <mergeCell ref="P323:P326"/>
    <mergeCell ref="Q323:Q326"/>
    <mergeCell ref="R323:R326"/>
    <mergeCell ref="S323:S326"/>
    <mergeCell ref="T323:T326"/>
    <mergeCell ref="U323:U326"/>
    <mergeCell ref="D322:D327"/>
    <mergeCell ref="E322:E327"/>
    <mergeCell ref="F322:F327"/>
    <mergeCell ref="G322:G327"/>
    <mergeCell ref="H322:H327"/>
    <mergeCell ref="I322:I327"/>
    <mergeCell ref="J322:J327"/>
    <mergeCell ref="K322:K327"/>
    <mergeCell ref="L322:L327"/>
    <mergeCell ref="BP317:BP320"/>
    <mergeCell ref="BQ317:BQ320"/>
    <mergeCell ref="BR317:BR320"/>
    <mergeCell ref="BT317:BT320"/>
    <mergeCell ref="BU317:BU320"/>
    <mergeCell ref="BV317:BV320"/>
    <mergeCell ref="BW317:BW320"/>
    <mergeCell ref="BX317:BX320"/>
    <mergeCell ref="P321:Q321"/>
    <mergeCell ref="V317:V320"/>
    <mergeCell ref="W317:W320"/>
    <mergeCell ref="X317:X320"/>
    <mergeCell ref="Y317:Y320"/>
    <mergeCell ref="Z317:Z320"/>
    <mergeCell ref="AA317:AA320"/>
    <mergeCell ref="AB317:AB320"/>
    <mergeCell ref="AC317:AC320"/>
    <mergeCell ref="AD317:AD320"/>
    <mergeCell ref="M316:M321"/>
    <mergeCell ref="N317:N320"/>
    <mergeCell ref="O317:O320"/>
    <mergeCell ref="P317:P320"/>
    <mergeCell ref="Q317:Q320"/>
    <mergeCell ref="R317:R320"/>
    <mergeCell ref="S317:S320"/>
    <mergeCell ref="T317:T320"/>
    <mergeCell ref="U317:U320"/>
    <mergeCell ref="D316:D321"/>
    <mergeCell ref="E316:E321"/>
    <mergeCell ref="F316:F321"/>
    <mergeCell ref="G316:G321"/>
    <mergeCell ref="H316:H321"/>
    <mergeCell ref="I316:I321"/>
    <mergeCell ref="J316:J321"/>
    <mergeCell ref="K316:K321"/>
    <mergeCell ref="L316:L321"/>
    <mergeCell ref="BP311:BP314"/>
    <mergeCell ref="BQ311:BQ314"/>
    <mergeCell ref="BR311:BR314"/>
    <mergeCell ref="BT311:BT314"/>
    <mergeCell ref="BU311:BU314"/>
    <mergeCell ref="BV311:BV314"/>
    <mergeCell ref="BW311:BW314"/>
    <mergeCell ref="BX311:BX314"/>
    <mergeCell ref="P315:Q315"/>
    <mergeCell ref="V311:V314"/>
    <mergeCell ref="W311:W314"/>
    <mergeCell ref="X311:X314"/>
    <mergeCell ref="Y311:Y314"/>
    <mergeCell ref="Z311:Z314"/>
    <mergeCell ref="AA311:AA314"/>
    <mergeCell ref="AB311:AB314"/>
    <mergeCell ref="AC311:AC314"/>
    <mergeCell ref="AD311:AD314"/>
    <mergeCell ref="M310:M315"/>
    <mergeCell ref="N311:N314"/>
    <mergeCell ref="O311:O314"/>
    <mergeCell ref="P311:P314"/>
    <mergeCell ref="Q311:Q314"/>
    <mergeCell ref="R311:R314"/>
    <mergeCell ref="S311:S314"/>
    <mergeCell ref="T311:T314"/>
    <mergeCell ref="U311:U314"/>
    <mergeCell ref="D310:D315"/>
    <mergeCell ref="E310:E315"/>
    <mergeCell ref="F310:F315"/>
    <mergeCell ref="G310:G315"/>
    <mergeCell ref="H310:H315"/>
    <mergeCell ref="I310:I315"/>
    <mergeCell ref="J310:J315"/>
    <mergeCell ref="K310:K315"/>
    <mergeCell ref="L310:L315"/>
    <mergeCell ref="BP305:BP308"/>
    <mergeCell ref="BQ305:BQ308"/>
    <mergeCell ref="BR305:BR308"/>
    <mergeCell ref="BT305:BT308"/>
    <mergeCell ref="BU305:BU308"/>
    <mergeCell ref="BV305:BV308"/>
    <mergeCell ref="BW305:BW308"/>
    <mergeCell ref="BX305:BX308"/>
    <mergeCell ref="P309:Q309"/>
    <mergeCell ref="V305:V308"/>
    <mergeCell ref="W305:W308"/>
    <mergeCell ref="X305:X308"/>
    <mergeCell ref="Y305:Y308"/>
    <mergeCell ref="Z305:Z308"/>
    <mergeCell ref="AA305:AA308"/>
    <mergeCell ref="AB305:AB308"/>
    <mergeCell ref="AC305:AC308"/>
    <mergeCell ref="AD305:AD308"/>
    <mergeCell ref="M304:M309"/>
    <mergeCell ref="N305:N308"/>
    <mergeCell ref="O305:O308"/>
    <mergeCell ref="P305:P308"/>
    <mergeCell ref="Q305:Q308"/>
    <mergeCell ref="R305:R308"/>
    <mergeCell ref="S305:S308"/>
    <mergeCell ref="T305:T308"/>
    <mergeCell ref="U305:U308"/>
    <mergeCell ref="D304:D309"/>
    <mergeCell ref="E304:E309"/>
    <mergeCell ref="F304:F309"/>
    <mergeCell ref="G304:G309"/>
    <mergeCell ref="H304:H309"/>
    <mergeCell ref="I304:I309"/>
    <mergeCell ref="J304:J309"/>
    <mergeCell ref="K304:K309"/>
    <mergeCell ref="L304:L309"/>
    <mergeCell ref="BP299:BP302"/>
    <mergeCell ref="BQ299:BQ302"/>
    <mergeCell ref="BR299:BR302"/>
    <mergeCell ref="BT299:BT302"/>
    <mergeCell ref="BU299:BU302"/>
    <mergeCell ref="BV299:BV302"/>
    <mergeCell ref="BW299:BW302"/>
    <mergeCell ref="BX299:BX302"/>
    <mergeCell ref="P303:Q303"/>
    <mergeCell ref="V299:V302"/>
    <mergeCell ref="W299:W302"/>
    <mergeCell ref="X299:X302"/>
    <mergeCell ref="Y299:Y302"/>
    <mergeCell ref="Z299:Z302"/>
    <mergeCell ref="AA299:AA302"/>
    <mergeCell ref="AB299:AB302"/>
    <mergeCell ref="AC299:AC302"/>
    <mergeCell ref="AD299:AD302"/>
    <mergeCell ref="M298:M303"/>
    <mergeCell ref="N299:N302"/>
    <mergeCell ref="O299:O302"/>
    <mergeCell ref="P299:P302"/>
    <mergeCell ref="Q299:Q302"/>
    <mergeCell ref="R299:R302"/>
    <mergeCell ref="S299:S302"/>
    <mergeCell ref="T299:T302"/>
    <mergeCell ref="U299:U302"/>
    <mergeCell ref="D298:D303"/>
    <mergeCell ref="E298:E303"/>
    <mergeCell ref="F298:F303"/>
    <mergeCell ref="G298:G303"/>
    <mergeCell ref="H298:H303"/>
    <mergeCell ref="I298:I303"/>
    <mergeCell ref="J298:J303"/>
    <mergeCell ref="K298:K303"/>
    <mergeCell ref="L298:L303"/>
    <mergeCell ref="BP293:BP296"/>
    <mergeCell ref="BQ293:BQ296"/>
    <mergeCell ref="BR293:BR296"/>
    <mergeCell ref="BT293:BT296"/>
    <mergeCell ref="BU293:BU296"/>
    <mergeCell ref="BV293:BV296"/>
    <mergeCell ref="BW293:BW296"/>
    <mergeCell ref="BX293:BX296"/>
    <mergeCell ref="P297:Q297"/>
    <mergeCell ref="V293:V296"/>
    <mergeCell ref="W293:W296"/>
    <mergeCell ref="X293:X296"/>
    <mergeCell ref="Y293:Y296"/>
    <mergeCell ref="Z293:Z296"/>
    <mergeCell ref="AA293:AA296"/>
    <mergeCell ref="AB293:AB296"/>
    <mergeCell ref="AC293:AC296"/>
    <mergeCell ref="AD293:AD296"/>
    <mergeCell ref="M292:M297"/>
    <mergeCell ref="N293:N296"/>
    <mergeCell ref="O293:O296"/>
    <mergeCell ref="P293:P296"/>
    <mergeCell ref="Q293:Q296"/>
    <mergeCell ref="R293:R296"/>
    <mergeCell ref="S293:S296"/>
    <mergeCell ref="T293:T296"/>
    <mergeCell ref="U293:U296"/>
    <mergeCell ref="D292:D297"/>
    <mergeCell ref="E292:E297"/>
    <mergeCell ref="F292:F297"/>
    <mergeCell ref="G292:G297"/>
    <mergeCell ref="H292:H297"/>
    <mergeCell ref="I292:I297"/>
    <mergeCell ref="J292:J297"/>
    <mergeCell ref="K292:K297"/>
    <mergeCell ref="L292:L297"/>
    <mergeCell ref="BP287:BP290"/>
    <mergeCell ref="BQ287:BQ290"/>
    <mergeCell ref="BR287:BR290"/>
    <mergeCell ref="BT287:BT290"/>
    <mergeCell ref="BU287:BU290"/>
    <mergeCell ref="BV287:BV290"/>
    <mergeCell ref="BW287:BW290"/>
    <mergeCell ref="BX287:BX290"/>
    <mergeCell ref="P291:Q291"/>
    <mergeCell ref="V287:V290"/>
    <mergeCell ref="W287:W290"/>
    <mergeCell ref="X287:X290"/>
    <mergeCell ref="Y287:Y290"/>
    <mergeCell ref="Z287:Z290"/>
    <mergeCell ref="AA287:AA290"/>
    <mergeCell ref="AB287:AB290"/>
    <mergeCell ref="AC287:AC290"/>
    <mergeCell ref="AD287:AD290"/>
    <mergeCell ref="M286:M291"/>
    <mergeCell ref="N287:N290"/>
    <mergeCell ref="O287:O290"/>
    <mergeCell ref="P287:P290"/>
    <mergeCell ref="Q287:Q290"/>
    <mergeCell ref="R287:R290"/>
    <mergeCell ref="S287:S290"/>
    <mergeCell ref="T287:T290"/>
    <mergeCell ref="U287:U290"/>
    <mergeCell ref="D286:D291"/>
    <mergeCell ref="E286:E291"/>
    <mergeCell ref="F286:F291"/>
    <mergeCell ref="G286:G291"/>
    <mergeCell ref="H286:H291"/>
    <mergeCell ref="I286:I291"/>
    <mergeCell ref="J286:J291"/>
    <mergeCell ref="K286:K291"/>
    <mergeCell ref="L286:L291"/>
    <mergeCell ref="BP281:BP284"/>
    <mergeCell ref="BQ281:BQ284"/>
    <mergeCell ref="BR281:BR284"/>
    <mergeCell ref="BT281:BT284"/>
    <mergeCell ref="BU281:BU284"/>
    <mergeCell ref="BV281:BV284"/>
    <mergeCell ref="BW281:BW284"/>
    <mergeCell ref="BX281:BX284"/>
    <mergeCell ref="P285:Q285"/>
    <mergeCell ref="V281:V284"/>
    <mergeCell ref="W281:W284"/>
    <mergeCell ref="X281:X284"/>
    <mergeCell ref="Y281:Y284"/>
    <mergeCell ref="Z281:Z284"/>
    <mergeCell ref="AA281:AA284"/>
    <mergeCell ref="AB281:AB284"/>
    <mergeCell ref="AC281:AC284"/>
    <mergeCell ref="AD281:AD284"/>
    <mergeCell ref="M280:M285"/>
    <mergeCell ref="N281:N284"/>
    <mergeCell ref="O281:O284"/>
    <mergeCell ref="P281:P284"/>
    <mergeCell ref="Q281:Q284"/>
    <mergeCell ref="R281:R284"/>
    <mergeCell ref="S281:S284"/>
    <mergeCell ref="T281:T284"/>
    <mergeCell ref="U281:U284"/>
    <mergeCell ref="D280:D285"/>
    <mergeCell ref="E280:E285"/>
    <mergeCell ref="F280:F285"/>
    <mergeCell ref="G280:G285"/>
    <mergeCell ref="H280:H285"/>
    <mergeCell ref="I280:I285"/>
    <mergeCell ref="J280:J285"/>
    <mergeCell ref="K280:K285"/>
    <mergeCell ref="L280:L285"/>
    <mergeCell ref="BP275:BP278"/>
    <mergeCell ref="BQ275:BQ278"/>
    <mergeCell ref="BR275:BR278"/>
    <mergeCell ref="BT275:BT278"/>
    <mergeCell ref="BU275:BU278"/>
    <mergeCell ref="BV275:BV278"/>
    <mergeCell ref="BW275:BW278"/>
    <mergeCell ref="BX275:BX278"/>
    <mergeCell ref="P279:Q279"/>
    <mergeCell ref="V275:V278"/>
    <mergeCell ref="W275:W278"/>
    <mergeCell ref="X275:X278"/>
    <mergeCell ref="Y275:Y278"/>
    <mergeCell ref="Z275:Z278"/>
    <mergeCell ref="AA275:AA278"/>
    <mergeCell ref="AB275:AB278"/>
    <mergeCell ref="AC275:AC278"/>
    <mergeCell ref="AD275:AD278"/>
    <mergeCell ref="M274:M279"/>
    <mergeCell ref="N275:N278"/>
    <mergeCell ref="O275:O278"/>
    <mergeCell ref="P275:P278"/>
    <mergeCell ref="Q275:Q278"/>
    <mergeCell ref="R275:R278"/>
    <mergeCell ref="S275:S278"/>
    <mergeCell ref="T275:T278"/>
    <mergeCell ref="U275:U278"/>
    <mergeCell ref="D274:D279"/>
    <mergeCell ref="E274:E279"/>
    <mergeCell ref="F274:F279"/>
    <mergeCell ref="G274:G279"/>
    <mergeCell ref="H274:H279"/>
    <mergeCell ref="I274:I279"/>
    <mergeCell ref="J274:J279"/>
    <mergeCell ref="K274:K279"/>
    <mergeCell ref="L274:L279"/>
    <mergeCell ref="BP269:BP272"/>
    <mergeCell ref="BQ269:BQ272"/>
    <mergeCell ref="BR269:BR272"/>
    <mergeCell ref="BT269:BT272"/>
    <mergeCell ref="BU269:BU272"/>
    <mergeCell ref="BV269:BV272"/>
    <mergeCell ref="BW269:BW272"/>
    <mergeCell ref="BX269:BX272"/>
    <mergeCell ref="P273:Q273"/>
    <mergeCell ref="V269:V272"/>
    <mergeCell ref="W269:W272"/>
    <mergeCell ref="X269:X272"/>
    <mergeCell ref="Y269:Y272"/>
    <mergeCell ref="Z269:Z272"/>
    <mergeCell ref="AA269:AA272"/>
    <mergeCell ref="AB269:AB272"/>
    <mergeCell ref="AC269:AC272"/>
    <mergeCell ref="AD269:AD272"/>
    <mergeCell ref="M268:M273"/>
    <mergeCell ref="N269:N272"/>
    <mergeCell ref="O269:O272"/>
    <mergeCell ref="P269:P272"/>
    <mergeCell ref="Q269:Q272"/>
    <mergeCell ref="R269:R272"/>
    <mergeCell ref="S269:S272"/>
    <mergeCell ref="T269:T272"/>
    <mergeCell ref="U269:U272"/>
    <mergeCell ref="D268:D273"/>
    <mergeCell ref="E268:E273"/>
    <mergeCell ref="F268:F273"/>
    <mergeCell ref="G268:G273"/>
    <mergeCell ref="H268:H273"/>
    <mergeCell ref="I268:I273"/>
    <mergeCell ref="J268:J273"/>
    <mergeCell ref="K268:K273"/>
    <mergeCell ref="L268:L273"/>
    <mergeCell ref="BP263:BP266"/>
    <mergeCell ref="BQ263:BQ266"/>
    <mergeCell ref="BR263:BR266"/>
    <mergeCell ref="BT263:BT266"/>
    <mergeCell ref="BU263:BU266"/>
    <mergeCell ref="BV263:BV266"/>
    <mergeCell ref="BW263:BW266"/>
    <mergeCell ref="BX263:BX266"/>
    <mergeCell ref="P267:Q267"/>
    <mergeCell ref="V263:V266"/>
    <mergeCell ref="W263:W266"/>
    <mergeCell ref="X263:X266"/>
    <mergeCell ref="Y263:Y266"/>
    <mergeCell ref="Z263:Z266"/>
    <mergeCell ref="AA263:AA266"/>
    <mergeCell ref="AB263:AB266"/>
    <mergeCell ref="AC263:AC266"/>
    <mergeCell ref="AD263:AD266"/>
    <mergeCell ref="M262:M267"/>
    <mergeCell ref="N263:N266"/>
    <mergeCell ref="O263:O266"/>
    <mergeCell ref="P263:P266"/>
    <mergeCell ref="Q263:Q266"/>
    <mergeCell ref="R263:R266"/>
    <mergeCell ref="S263:S266"/>
    <mergeCell ref="T263:T266"/>
    <mergeCell ref="U263:U266"/>
    <mergeCell ref="D262:D267"/>
    <mergeCell ref="E262:E267"/>
    <mergeCell ref="F262:F267"/>
    <mergeCell ref="G262:G267"/>
    <mergeCell ref="H262:H267"/>
    <mergeCell ref="I262:I267"/>
    <mergeCell ref="J262:J267"/>
    <mergeCell ref="K262:K267"/>
    <mergeCell ref="L262:L267"/>
    <mergeCell ref="BP257:BP260"/>
    <mergeCell ref="BQ257:BQ260"/>
    <mergeCell ref="BR257:BR260"/>
    <mergeCell ref="BT257:BT260"/>
    <mergeCell ref="BU257:BU260"/>
    <mergeCell ref="BV257:BV260"/>
    <mergeCell ref="BW257:BW260"/>
    <mergeCell ref="BX257:BX260"/>
    <mergeCell ref="P261:Q261"/>
    <mergeCell ref="V257:V260"/>
    <mergeCell ref="W257:W260"/>
    <mergeCell ref="X257:X260"/>
    <mergeCell ref="Y257:Y260"/>
    <mergeCell ref="Z257:Z260"/>
    <mergeCell ref="AA257:AA260"/>
    <mergeCell ref="AB257:AB260"/>
    <mergeCell ref="AC257:AC260"/>
    <mergeCell ref="AD257:AD260"/>
    <mergeCell ref="M256:M261"/>
    <mergeCell ref="N257:N260"/>
    <mergeCell ref="O257:O260"/>
    <mergeCell ref="P257:P260"/>
    <mergeCell ref="Q257:Q260"/>
    <mergeCell ref="R257:R260"/>
    <mergeCell ref="S257:S260"/>
    <mergeCell ref="T257:T260"/>
    <mergeCell ref="U257:U260"/>
    <mergeCell ref="D256:D261"/>
    <mergeCell ref="E256:E261"/>
    <mergeCell ref="F256:F261"/>
    <mergeCell ref="G256:G261"/>
    <mergeCell ref="H256:H261"/>
    <mergeCell ref="I256:I261"/>
    <mergeCell ref="J256:J261"/>
    <mergeCell ref="K256:K261"/>
    <mergeCell ref="L256:L261"/>
    <mergeCell ref="BP251:BP254"/>
    <mergeCell ref="BQ251:BQ254"/>
    <mergeCell ref="BR251:BR254"/>
    <mergeCell ref="BT251:BT254"/>
    <mergeCell ref="BU251:BU254"/>
    <mergeCell ref="BV251:BV254"/>
    <mergeCell ref="BW251:BW254"/>
    <mergeCell ref="BX251:BX254"/>
    <mergeCell ref="P255:Q255"/>
    <mergeCell ref="V251:V254"/>
    <mergeCell ref="W251:W254"/>
    <mergeCell ref="X251:X254"/>
    <mergeCell ref="Y251:Y254"/>
    <mergeCell ref="Z251:Z254"/>
    <mergeCell ref="AA251:AA254"/>
    <mergeCell ref="AB251:AB254"/>
    <mergeCell ref="AC251:AC254"/>
    <mergeCell ref="AD251:AD254"/>
    <mergeCell ref="M250:M255"/>
    <mergeCell ref="N251:N254"/>
    <mergeCell ref="O251:O254"/>
    <mergeCell ref="P251:P254"/>
    <mergeCell ref="Q251:Q254"/>
    <mergeCell ref="R251:R254"/>
    <mergeCell ref="S251:S254"/>
    <mergeCell ref="T251:T254"/>
    <mergeCell ref="U251:U254"/>
    <mergeCell ref="D250:D255"/>
    <mergeCell ref="E250:E255"/>
    <mergeCell ref="F250:F255"/>
    <mergeCell ref="G250:G255"/>
    <mergeCell ref="H250:H255"/>
    <mergeCell ref="I250:I255"/>
    <mergeCell ref="J250:J255"/>
    <mergeCell ref="K250:K255"/>
    <mergeCell ref="L250:L255"/>
    <mergeCell ref="BP245:BP248"/>
    <mergeCell ref="BQ245:BQ248"/>
    <mergeCell ref="BR245:BR248"/>
    <mergeCell ref="BT245:BT248"/>
    <mergeCell ref="BU245:BU248"/>
    <mergeCell ref="BV245:BV248"/>
    <mergeCell ref="BW245:BW248"/>
    <mergeCell ref="BX245:BX248"/>
    <mergeCell ref="P249:Q249"/>
    <mergeCell ref="V245:V248"/>
    <mergeCell ref="W245:W248"/>
    <mergeCell ref="X245:X248"/>
    <mergeCell ref="Y245:Y248"/>
    <mergeCell ref="Z245:Z248"/>
    <mergeCell ref="AA245:AA248"/>
    <mergeCell ref="AB245:AB248"/>
    <mergeCell ref="AC245:AC248"/>
    <mergeCell ref="AD245:AD248"/>
    <mergeCell ref="M244:M249"/>
    <mergeCell ref="N245:N248"/>
    <mergeCell ref="O245:O248"/>
    <mergeCell ref="P245:P248"/>
    <mergeCell ref="Q245:Q248"/>
    <mergeCell ref="R245:R248"/>
    <mergeCell ref="S245:S248"/>
    <mergeCell ref="T245:T248"/>
    <mergeCell ref="U245:U248"/>
    <mergeCell ref="D244:D249"/>
    <mergeCell ref="E244:E249"/>
    <mergeCell ref="F244:F249"/>
    <mergeCell ref="G244:G249"/>
    <mergeCell ref="H244:H249"/>
    <mergeCell ref="I244:I249"/>
    <mergeCell ref="J244:J249"/>
    <mergeCell ref="K244:K249"/>
    <mergeCell ref="L244:L249"/>
    <mergeCell ref="BP239:BP242"/>
    <mergeCell ref="BQ239:BQ242"/>
    <mergeCell ref="BR239:BR242"/>
    <mergeCell ref="BT239:BT242"/>
    <mergeCell ref="BU239:BU242"/>
    <mergeCell ref="BV239:BV242"/>
    <mergeCell ref="BW239:BW242"/>
    <mergeCell ref="BX239:BX242"/>
    <mergeCell ref="P243:Q243"/>
    <mergeCell ref="V239:V242"/>
    <mergeCell ref="W239:W242"/>
    <mergeCell ref="X239:X242"/>
    <mergeCell ref="Y239:Y242"/>
    <mergeCell ref="Z239:Z242"/>
    <mergeCell ref="AA239:AA242"/>
    <mergeCell ref="AB239:AB242"/>
    <mergeCell ref="AC239:AC242"/>
    <mergeCell ref="AD239:AD242"/>
    <mergeCell ref="M238:M243"/>
    <mergeCell ref="N239:N242"/>
    <mergeCell ref="O239:O242"/>
    <mergeCell ref="P239:P242"/>
    <mergeCell ref="Q239:Q242"/>
    <mergeCell ref="R239:R242"/>
    <mergeCell ref="S239:S242"/>
    <mergeCell ref="T239:T242"/>
    <mergeCell ref="U239:U242"/>
    <mergeCell ref="D238:D243"/>
    <mergeCell ref="E238:E243"/>
    <mergeCell ref="F238:F243"/>
    <mergeCell ref="G238:G243"/>
    <mergeCell ref="H238:H243"/>
    <mergeCell ref="I238:I243"/>
    <mergeCell ref="J238:J243"/>
    <mergeCell ref="K238:K243"/>
    <mergeCell ref="L238:L243"/>
    <mergeCell ref="BP233:BP236"/>
    <mergeCell ref="BQ233:BQ236"/>
    <mergeCell ref="BR233:BR236"/>
    <mergeCell ref="BT233:BT236"/>
    <mergeCell ref="BU233:BU236"/>
    <mergeCell ref="BV233:BV236"/>
    <mergeCell ref="BW233:BW236"/>
    <mergeCell ref="BX233:BX236"/>
    <mergeCell ref="P237:Q237"/>
    <mergeCell ref="V233:V236"/>
    <mergeCell ref="W233:W236"/>
    <mergeCell ref="X233:X236"/>
    <mergeCell ref="Y233:Y236"/>
    <mergeCell ref="Z233:Z236"/>
    <mergeCell ref="AA233:AA236"/>
    <mergeCell ref="AB233:AB236"/>
    <mergeCell ref="AC233:AC236"/>
    <mergeCell ref="AD233:AD236"/>
    <mergeCell ref="M232:M237"/>
    <mergeCell ref="N233:N236"/>
    <mergeCell ref="O233:O236"/>
    <mergeCell ref="P233:P236"/>
    <mergeCell ref="Q233:Q236"/>
    <mergeCell ref="R233:R236"/>
    <mergeCell ref="S233:S236"/>
    <mergeCell ref="T233:T236"/>
    <mergeCell ref="U233:U236"/>
    <mergeCell ref="D232:D237"/>
    <mergeCell ref="E232:E237"/>
    <mergeCell ref="F232:F237"/>
    <mergeCell ref="G232:G237"/>
    <mergeCell ref="H232:H237"/>
    <mergeCell ref="I232:I237"/>
    <mergeCell ref="J232:J237"/>
    <mergeCell ref="K232:K237"/>
    <mergeCell ref="L232:L237"/>
    <mergeCell ref="BP227:BP230"/>
    <mergeCell ref="BQ227:BQ230"/>
    <mergeCell ref="BR227:BR230"/>
    <mergeCell ref="BT227:BT230"/>
    <mergeCell ref="BU227:BU230"/>
    <mergeCell ref="BV227:BV230"/>
    <mergeCell ref="BW227:BW230"/>
    <mergeCell ref="BX227:BX230"/>
    <mergeCell ref="P231:Q231"/>
    <mergeCell ref="V227:V230"/>
    <mergeCell ref="W227:W230"/>
    <mergeCell ref="X227:X230"/>
    <mergeCell ref="Y227:Y230"/>
    <mergeCell ref="Z227:Z230"/>
    <mergeCell ref="AA227:AA230"/>
    <mergeCell ref="AB227:AB230"/>
    <mergeCell ref="AC227:AC230"/>
    <mergeCell ref="AD227:AD230"/>
    <mergeCell ref="M226:M231"/>
    <mergeCell ref="N227:N230"/>
    <mergeCell ref="O227:O230"/>
    <mergeCell ref="P227:P230"/>
    <mergeCell ref="Q227:Q230"/>
    <mergeCell ref="R227:R230"/>
    <mergeCell ref="S227:S230"/>
    <mergeCell ref="T227:T230"/>
    <mergeCell ref="U227:U230"/>
    <mergeCell ref="D226:D231"/>
    <mergeCell ref="E226:E231"/>
    <mergeCell ref="F226:F231"/>
    <mergeCell ref="G226:G231"/>
    <mergeCell ref="H226:H231"/>
    <mergeCell ref="I226:I231"/>
    <mergeCell ref="J226:J231"/>
    <mergeCell ref="K226:K231"/>
    <mergeCell ref="L226:L231"/>
    <mergeCell ref="BP221:BP224"/>
    <mergeCell ref="BQ221:BQ224"/>
    <mergeCell ref="BR221:BR224"/>
    <mergeCell ref="BT221:BT224"/>
    <mergeCell ref="BU221:BU224"/>
    <mergeCell ref="BV221:BV224"/>
    <mergeCell ref="BW221:BW224"/>
    <mergeCell ref="BX221:BX224"/>
    <mergeCell ref="P225:Q225"/>
    <mergeCell ref="V221:V224"/>
    <mergeCell ref="W221:W224"/>
    <mergeCell ref="X221:X224"/>
    <mergeCell ref="Y221:Y224"/>
    <mergeCell ref="Z221:Z224"/>
    <mergeCell ref="AA221:AA224"/>
    <mergeCell ref="AB221:AB224"/>
    <mergeCell ref="AC221:AC224"/>
    <mergeCell ref="AD221:AD224"/>
    <mergeCell ref="M220:M225"/>
    <mergeCell ref="N221:N224"/>
    <mergeCell ref="O221:O224"/>
    <mergeCell ref="P221:P224"/>
    <mergeCell ref="Q221:Q224"/>
    <mergeCell ref="R221:R224"/>
    <mergeCell ref="S221:S224"/>
    <mergeCell ref="T221:T224"/>
    <mergeCell ref="U221:U224"/>
    <mergeCell ref="D220:D225"/>
    <mergeCell ref="E220:E225"/>
    <mergeCell ref="F220:F225"/>
    <mergeCell ref="G220:G225"/>
    <mergeCell ref="H220:H225"/>
    <mergeCell ref="I220:I225"/>
    <mergeCell ref="J220:J225"/>
    <mergeCell ref="K220:K225"/>
    <mergeCell ref="L220:L225"/>
    <mergeCell ref="BP215:BP218"/>
    <mergeCell ref="BQ215:BQ218"/>
    <mergeCell ref="BR215:BR218"/>
    <mergeCell ref="BT215:BT218"/>
    <mergeCell ref="BU215:BU218"/>
    <mergeCell ref="BV215:BV218"/>
    <mergeCell ref="BW215:BW218"/>
    <mergeCell ref="BX215:BX218"/>
    <mergeCell ref="P219:Q219"/>
    <mergeCell ref="V215:V218"/>
    <mergeCell ref="W215:W218"/>
    <mergeCell ref="X215:X218"/>
    <mergeCell ref="Y215:Y218"/>
    <mergeCell ref="Z215:Z218"/>
    <mergeCell ref="AA215:AA218"/>
    <mergeCell ref="AB215:AB218"/>
    <mergeCell ref="AC215:AC218"/>
    <mergeCell ref="AD215:AD218"/>
    <mergeCell ref="M214:M219"/>
    <mergeCell ref="N215:N218"/>
    <mergeCell ref="O215:O218"/>
    <mergeCell ref="P215:P218"/>
    <mergeCell ref="Q215:Q218"/>
    <mergeCell ref="R215:R218"/>
    <mergeCell ref="S215:S218"/>
    <mergeCell ref="T215:T218"/>
    <mergeCell ref="U215:U218"/>
    <mergeCell ref="D214:D219"/>
    <mergeCell ref="E214:E219"/>
    <mergeCell ref="F214:F219"/>
    <mergeCell ref="G214:G219"/>
    <mergeCell ref="H214:H219"/>
    <mergeCell ref="I214:I219"/>
    <mergeCell ref="J214:J219"/>
    <mergeCell ref="K214:K219"/>
    <mergeCell ref="L214:L219"/>
    <mergeCell ref="BP209:BP212"/>
    <mergeCell ref="BQ209:BQ212"/>
    <mergeCell ref="BR209:BR212"/>
    <mergeCell ref="BT209:BT212"/>
    <mergeCell ref="BU209:BU212"/>
    <mergeCell ref="BV209:BV212"/>
    <mergeCell ref="BW209:BW212"/>
    <mergeCell ref="BX209:BX212"/>
    <mergeCell ref="P213:Q213"/>
    <mergeCell ref="V209:V212"/>
    <mergeCell ref="W209:W212"/>
    <mergeCell ref="X209:X212"/>
    <mergeCell ref="Y209:Y212"/>
    <mergeCell ref="Z209:Z212"/>
    <mergeCell ref="AA209:AA212"/>
    <mergeCell ref="AB209:AB212"/>
    <mergeCell ref="AC209:AC212"/>
    <mergeCell ref="AD209:AD212"/>
    <mergeCell ref="M208:M213"/>
    <mergeCell ref="N209:N212"/>
    <mergeCell ref="O209:O212"/>
    <mergeCell ref="P209:P212"/>
    <mergeCell ref="Q209:Q212"/>
    <mergeCell ref="R209:R212"/>
    <mergeCell ref="S209:S212"/>
    <mergeCell ref="T209:T212"/>
    <mergeCell ref="U209:U212"/>
    <mergeCell ref="D208:D213"/>
    <mergeCell ref="E208:E213"/>
    <mergeCell ref="F208:F213"/>
    <mergeCell ref="G208:G213"/>
    <mergeCell ref="H208:H213"/>
    <mergeCell ref="I208:I213"/>
    <mergeCell ref="J208:J213"/>
    <mergeCell ref="K208:K213"/>
    <mergeCell ref="L208:L213"/>
    <mergeCell ref="BP203:BP206"/>
    <mergeCell ref="BQ203:BQ206"/>
    <mergeCell ref="BR203:BR206"/>
    <mergeCell ref="BT203:BT206"/>
    <mergeCell ref="BU203:BU206"/>
    <mergeCell ref="BV203:BV206"/>
    <mergeCell ref="BW203:BW206"/>
    <mergeCell ref="BX203:BX206"/>
    <mergeCell ref="P207:Q207"/>
    <mergeCell ref="V203:V206"/>
    <mergeCell ref="W203:W206"/>
    <mergeCell ref="X203:X206"/>
    <mergeCell ref="Y203:Y206"/>
    <mergeCell ref="Z203:Z206"/>
    <mergeCell ref="AA203:AA206"/>
    <mergeCell ref="AB203:AB206"/>
    <mergeCell ref="AC203:AC206"/>
    <mergeCell ref="AD203:AD206"/>
    <mergeCell ref="M202:M207"/>
    <mergeCell ref="N203:N206"/>
    <mergeCell ref="O203:O206"/>
    <mergeCell ref="P203:P206"/>
    <mergeCell ref="Q203:Q206"/>
    <mergeCell ref="R203:R206"/>
    <mergeCell ref="S203:S206"/>
    <mergeCell ref="T203:T206"/>
    <mergeCell ref="U203:U206"/>
    <mergeCell ref="D202:D207"/>
    <mergeCell ref="E202:E207"/>
    <mergeCell ref="F202:F207"/>
    <mergeCell ref="G202:G207"/>
    <mergeCell ref="H202:H207"/>
    <mergeCell ref="I202:I207"/>
    <mergeCell ref="J202:J207"/>
    <mergeCell ref="K202:K207"/>
    <mergeCell ref="L202:L207"/>
    <mergeCell ref="BP197:BP200"/>
    <mergeCell ref="BQ197:BQ200"/>
    <mergeCell ref="BR197:BR200"/>
    <mergeCell ref="BT197:BT200"/>
    <mergeCell ref="BU197:BU200"/>
    <mergeCell ref="BV197:BV200"/>
    <mergeCell ref="BW197:BW200"/>
    <mergeCell ref="BX197:BX200"/>
    <mergeCell ref="P201:Q201"/>
    <mergeCell ref="V197:V200"/>
    <mergeCell ref="W197:W200"/>
    <mergeCell ref="X197:X200"/>
    <mergeCell ref="Y197:Y200"/>
    <mergeCell ref="Z197:Z200"/>
    <mergeCell ref="AA197:AA200"/>
    <mergeCell ref="AB197:AB200"/>
    <mergeCell ref="AC197:AC200"/>
    <mergeCell ref="AD197:AD200"/>
    <mergeCell ref="M196:M201"/>
    <mergeCell ref="N197:N200"/>
    <mergeCell ref="O197:O200"/>
    <mergeCell ref="P197:P200"/>
    <mergeCell ref="Q197:Q200"/>
    <mergeCell ref="R197:R200"/>
    <mergeCell ref="S197:S200"/>
    <mergeCell ref="T197:T200"/>
    <mergeCell ref="U197:U200"/>
    <mergeCell ref="D196:D201"/>
    <mergeCell ref="E196:E201"/>
    <mergeCell ref="F196:F201"/>
    <mergeCell ref="G196:G201"/>
    <mergeCell ref="H196:H201"/>
    <mergeCell ref="I196:I201"/>
    <mergeCell ref="J196:J201"/>
    <mergeCell ref="K196:K201"/>
    <mergeCell ref="L196:L201"/>
    <mergeCell ref="BP191:BP194"/>
    <mergeCell ref="BQ191:BQ194"/>
    <mergeCell ref="BR191:BR194"/>
    <mergeCell ref="BT191:BT194"/>
    <mergeCell ref="BU191:BU194"/>
    <mergeCell ref="BV191:BV194"/>
    <mergeCell ref="BW191:BW194"/>
    <mergeCell ref="BX191:BX194"/>
    <mergeCell ref="P195:Q195"/>
    <mergeCell ref="V191:V194"/>
    <mergeCell ref="W191:W194"/>
    <mergeCell ref="X191:X194"/>
    <mergeCell ref="Y191:Y194"/>
    <mergeCell ref="Z191:Z194"/>
    <mergeCell ref="AA191:AA194"/>
    <mergeCell ref="AB191:AB194"/>
    <mergeCell ref="AC191:AC194"/>
    <mergeCell ref="AD191:AD194"/>
    <mergeCell ref="M190:M195"/>
    <mergeCell ref="N191:N194"/>
    <mergeCell ref="O191:O194"/>
    <mergeCell ref="P191:P194"/>
    <mergeCell ref="Q191:Q194"/>
    <mergeCell ref="R191:R194"/>
    <mergeCell ref="S191:S194"/>
    <mergeCell ref="T191:T194"/>
    <mergeCell ref="U191:U194"/>
    <mergeCell ref="D190:D195"/>
    <mergeCell ref="E190:E195"/>
    <mergeCell ref="F190:F195"/>
    <mergeCell ref="G190:G195"/>
    <mergeCell ref="H190:H195"/>
    <mergeCell ref="I190:I195"/>
    <mergeCell ref="J190:J195"/>
    <mergeCell ref="K190:K195"/>
    <mergeCell ref="L190:L195"/>
    <mergeCell ref="BP185:BP188"/>
    <mergeCell ref="BQ185:BQ188"/>
    <mergeCell ref="BR185:BR188"/>
    <mergeCell ref="BT185:BT188"/>
    <mergeCell ref="BU185:BU188"/>
    <mergeCell ref="BV185:BV188"/>
    <mergeCell ref="BW185:BW188"/>
    <mergeCell ref="BX185:BX188"/>
    <mergeCell ref="P189:Q189"/>
    <mergeCell ref="V185:V188"/>
    <mergeCell ref="W185:W188"/>
    <mergeCell ref="X185:X188"/>
    <mergeCell ref="Y185:Y188"/>
    <mergeCell ref="Z185:Z188"/>
    <mergeCell ref="AA185:AA188"/>
    <mergeCell ref="AB185:AB188"/>
    <mergeCell ref="AC185:AC188"/>
    <mergeCell ref="AD185:AD188"/>
    <mergeCell ref="M184:M189"/>
    <mergeCell ref="N185:N188"/>
    <mergeCell ref="O185:O188"/>
    <mergeCell ref="P185:P188"/>
    <mergeCell ref="Q185:Q188"/>
    <mergeCell ref="R185:R188"/>
    <mergeCell ref="S185:S188"/>
    <mergeCell ref="T185:T188"/>
    <mergeCell ref="U185:U188"/>
    <mergeCell ref="D184:D189"/>
    <mergeCell ref="E184:E189"/>
    <mergeCell ref="F184:F189"/>
    <mergeCell ref="G184:G189"/>
    <mergeCell ref="H184:H189"/>
    <mergeCell ref="I184:I189"/>
    <mergeCell ref="J184:J189"/>
    <mergeCell ref="K184:K189"/>
    <mergeCell ref="L184:L189"/>
    <mergeCell ref="BP179:BP182"/>
    <mergeCell ref="BQ179:BQ182"/>
    <mergeCell ref="BR179:BR182"/>
    <mergeCell ref="BT179:BT182"/>
    <mergeCell ref="BU179:BU182"/>
    <mergeCell ref="BV179:BV182"/>
    <mergeCell ref="BW179:BW182"/>
    <mergeCell ref="BX179:BX182"/>
    <mergeCell ref="P183:Q183"/>
    <mergeCell ref="V179:V182"/>
    <mergeCell ref="W179:W182"/>
    <mergeCell ref="X179:X182"/>
    <mergeCell ref="Y179:Y182"/>
    <mergeCell ref="Z179:Z182"/>
    <mergeCell ref="AA179:AA182"/>
    <mergeCell ref="AB179:AB182"/>
    <mergeCell ref="AC179:AC182"/>
    <mergeCell ref="AD179:AD182"/>
    <mergeCell ref="M178:M183"/>
    <mergeCell ref="N179:N182"/>
    <mergeCell ref="O179:O182"/>
    <mergeCell ref="P179:P182"/>
    <mergeCell ref="Q179:Q182"/>
    <mergeCell ref="R179:R182"/>
    <mergeCell ref="S179:S182"/>
    <mergeCell ref="T179:T182"/>
    <mergeCell ref="U179:U182"/>
    <mergeCell ref="D178:D183"/>
    <mergeCell ref="E178:E183"/>
    <mergeCell ref="F178:F183"/>
    <mergeCell ref="G178:G183"/>
    <mergeCell ref="H178:H183"/>
    <mergeCell ref="I178:I183"/>
    <mergeCell ref="J178:J183"/>
    <mergeCell ref="K178:K183"/>
    <mergeCell ref="L178:L183"/>
    <mergeCell ref="BP173:BP176"/>
    <mergeCell ref="BQ173:BQ176"/>
    <mergeCell ref="BR173:BR176"/>
    <mergeCell ref="BT173:BT176"/>
    <mergeCell ref="BU173:BU176"/>
    <mergeCell ref="BV173:BV176"/>
    <mergeCell ref="BW173:BW176"/>
    <mergeCell ref="BX173:BX176"/>
    <mergeCell ref="P177:Q177"/>
    <mergeCell ref="V173:V176"/>
    <mergeCell ref="W173:W176"/>
    <mergeCell ref="X173:X176"/>
    <mergeCell ref="Y173:Y176"/>
    <mergeCell ref="Z173:Z176"/>
    <mergeCell ref="AA173:AA176"/>
    <mergeCell ref="AB173:AB176"/>
    <mergeCell ref="AC173:AC176"/>
    <mergeCell ref="AD173:AD176"/>
    <mergeCell ref="M172:M177"/>
    <mergeCell ref="N173:N176"/>
    <mergeCell ref="O173:O176"/>
    <mergeCell ref="P173:P176"/>
    <mergeCell ref="Q173:Q176"/>
    <mergeCell ref="R173:R176"/>
    <mergeCell ref="S173:S176"/>
    <mergeCell ref="T173:T176"/>
    <mergeCell ref="U173:U176"/>
    <mergeCell ref="D172:D177"/>
    <mergeCell ref="E172:E177"/>
    <mergeCell ref="F172:F177"/>
    <mergeCell ref="G172:G177"/>
    <mergeCell ref="H172:H177"/>
    <mergeCell ref="I172:I177"/>
    <mergeCell ref="J172:J177"/>
    <mergeCell ref="K172:K177"/>
    <mergeCell ref="L172:L177"/>
    <mergeCell ref="BP167:BP170"/>
    <mergeCell ref="BQ167:BQ170"/>
    <mergeCell ref="BR167:BR170"/>
    <mergeCell ref="BT167:BT170"/>
    <mergeCell ref="BU167:BU170"/>
    <mergeCell ref="BV167:BV170"/>
    <mergeCell ref="BW167:BW170"/>
    <mergeCell ref="BX167:BX170"/>
    <mergeCell ref="P171:Q171"/>
    <mergeCell ref="V167:V170"/>
    <mergeCell ref="W167:W170"/>
    <mergeCell ref="X167:X170"/>
    <mergeCell ref="Y167:Y170"/>
    <mergeCell ref="Z167:Z170"/>
    <mergeCell ref="AA167:AA170"/>
    <mergeCell ref="AB167:AB170"/>
    <mergeCell ref="AC167:AC170"/>
    <mergeCell ref="AD167:AD170"/>
    <mergeCell ref="M166:M171"/>
    <mergeCell ref="N167:N170"/>
    <mergeCell ref="O167:O170"/>
    <mergeCell ref="P167:P170"/>
    <mergeCell ref="Q167:Q170"/>
    <mergeCell ref="R167:R170"/>
    <mergeCell ref="S167:S170"/>
    <mergeCell ref="T167:T170"/>
    <mergeCell ref="U167:U170"/>
    <mergeCell ref="D166:D171"/>
    <mergeCell ref="E166:E171"/>
    <mergeCell ref="F166:F171"/>
    <mergeCell ref="G166:G171"/>
    <mergeCell ref="H166:H171"/>
    <mergeCell ref="I166:I171"/>
    <mergeCell ref="J166:J171"/>
    <mergeCell ref="K166:K171"/>
    <mergeCell ref="L166:L171"/>
    <mergeCell ref="BP161:BP164"/>
    <mergeCell ref="BQ161:BQ164"/>
    <mergeCell ref="BR161:BR164"/>
    <mergeCell ref="BT161:BT164"/>
    <mergeCell ref="BU161:BU164"/>
    <mergeCell ref="BV161:BV164"/>
    <mergeCell ref="BW161:BW164"/>
    <mergeCell ref="BX161:BX164"/>
    <mergeCell ref="P165:Q165"/>
    <mergeCell ref="V161:V164"/>
    <mergeCell ref="W161:W164"/>
    <mergeCell ref="X161:X164"/>
    <mergeCell ref="Y161:Y164"/>
    <mergeCell ref="Z161:Z164"/>
    <mergeCell ref="AA161:AA164"/>
    <mergeCell ref="AB161:AB164"/>
    <mergeCell ref="AC161:AC164"/>
    <mergeCell ref="AD161:AD164"/>
    <mergeCell ref="M160:M165"/>
    <mergeCell ref="N161:N164"/>
    <mergeCell ref="O161:O164"/>
    <mergeCell ref="P161:P164"/>
    <mergeCell ref="Q161:Q164"/>
    <mergeCell ref="R161:R164"/>
    <mergeCell ref="S161:S164"/>
    <mergeCell ref="T161:T164"/>
    <mergeCell ref="U161:U164"/>
    <mergeCell ref="D160:D165"/>
    <mergeCell ref="E160:E165"/>
    <mergeCell ref="F160:F165"/>
    <mergeCell ref="G160:G165"/>
    <mergeCell ref="H160:H165"/>
    <mergeCell ref="I160:I165"/>
    <mergeCell ref="J160:J165"/>
    <mergeCell ref="K160:K165"/>
    <mergeCell ref="L160:L165"/>
    <mergeCell ref="BP146:BP151"/>
    <mergeCell ref="BQ146:BQ151"/>
    <mergeCell ref="BR146:BR151"/>
    <mergeCell ref="BT146:BT151"/>
    <mergeCell ref="BU146:BU151"/>
    <mergeCell ref="BV146:BV151"/>
    <mergeCell ref="BW146:BW151"/>
    <mergeCell ref="BX146:BX151"/>
    <mergeCell ref="P152:Q152"/>
    <mergeCell ref="V146:V151"/>
    <mergeCell ref="W146:W151"/>
    <mergeCell ref="X146:X151"/>
    <mergeCell ref="Y146:Y151"/>
    <mergeCell ref="Z146:Z151"/>
    <mergeCell ref="AA146:AA151"/>
    <mergeCell ref="AB146:AB151"/>
    <mergeCell ref="AC146:AC151"/>
    <mergeCell ref="AD146:AD151"/>
    <mergeCell ref="M145:M152"/>
    <mergeCell ref="N146:N151"/>
    <mergeCell ref="O146:O151"/>
    <mergeCell ref="P146:P151"/>
    <mergeCell ref="Q146:Q151"/>
    <mergeCell ref="R146:R151"/>
    <mergeCell ref="S146:S151"/>
    <mergeCell ref="T146:T151"/>
    <mergeCell ref="U146:U151"/>
    <mergeCell ref="D145:D152"/>
    <mergeCell ref="E145:E152"/>
    <mergeCell ref="F145:F152"/>
    <mergeCell ref="G145:G152"/>
    <mergeCell ref="H145:H152"/>
    <mergeCell ref="I145:I152"/>
    <mergeCell ref="J145:J152"/>
    <mergeCell ref="K145:K152"/>
    <mergeCell ref="L145:L152"/>
    <mergeCell ref="BP138:BP143"/>
    <mergeCell ref="BQ138:BQ143"/>
    <mergeCell ref="BR138:BR143"/>
    <mergeCell ref="BT138:BT143"/>
    <mergeCell ref="BU138:BU143"/>
    <mergeCell ref="BV138:BV143"/>
    <mergeCell ref="BW138:BW143"/>
    <mergeCell ref="BX138:BX143"/>
    <mergeCell ref="P144:Q144"/>
    <mergeCell ref="V138:V143"/>
    <mergeCell ref="W138:W143"/>
    <mergeCell ref="X138:X143"/>
    <mergeCell ref="Y138:Y143"/>
    <mergeCell ref="Z138:Z143"/>
    <mergeCell ref="AA138:AA143"/>
    <mergeCell ref="AB138:AB143"/>
    <mergeCell ref="AC138:AC143"/>
    <mergeCell ref="AD138:AD143"/>
    <mergeCell ref="M137:M144"/>
    <mergeCell ref="N138:N143"/>
    <mergeCell ref="O138:O143"/>
    <mergeCell ref="P138:P143"/>
    <mergeCell ref="Q138:Q143"/>
    <mergeCell ref="R138:R143"/>
    <mergeCell ref="S138:S143"/>
    <mergeCell ref="T138:T143"/>
    <mergeCell ref="U138:U143"/>
    <mergeCell ref="D137:D144"/>
    <mergeCell ref="E137:E144"/>
    <mergeCell ref="F137:F144"/>
    <mergeCell ref="G137:G144"/>
    <mergeCell ref="H137:H144"/>
    <mergeCell ref="I137:I144"/>
    <mergeCell ref="J137:J144"/>
    <mergeCell ref="K137:K144"/>
    <mergeCell ref="L137:L144"/>
    <mergeCell ref="BP132:BP135"/>
    <mergeCell ref="BQ132:BQ135"/>
    <mergeCell ref="BR132:BR135"/>
    <mergeCell ref="BT132:BT135"/>
    <mergeCell ref="BU132:BU135"/>
    <mergeCell ref="BV132:BV135"/>
    <mergeCell ref="BW132:BW135"/>
    <mergeCell ref="BX132:BX135"/>
    <mergeCell ref="P136:Q136"/>
    <mergeCell ref="V132:V135"/>
    <mergeCell ref="W132:W135"/>
    <mergeCell ref="X132:X135"/>
    <mergeCell ref="Y132:Y135"/>
    <mergeCell ref="Z132:Z135"/>
    <mergeCell ref="AA132:AA135"/>
    <mergeCell ref="AB132:AB135"/>
    <mergeCell ref="AC132:AC135"/>
    <mergeCell ref="AD132:AD135"/>
    <mergeCell ref="M131:M136"/>
    <mergeCell ref="N132:N135"/>
    <mergeCell ref="O132:O135"/>
    <mergeCell ref="P132:P135"/>
    <mergeCell ref="Q132:Q135"/>
    <mergeCell ref="R132:R135"/>
    <mergeCell ref="S132:S135"/>
    <mergeCell ref="T132:T135"/>
    <mergeCell ref="U132:U135"/>
    <mergeCell ref="D131:D136"/>
    <mergeCell ref="E131:E136"/>
    <mergeCell ref="F131:F136"/>
    <mergeCell ref="G131:G136"/>
    <mergeCell ref="H131:H136"/>
    <mergeCell ref="I131:I136"/>
    <mergeCell ref="J131:J136"/>
    <mergeCell ref="K131:K136"/>
    <mergeCell ref="L131:L136"/>
    <mergeCell ref="BP124:BP129"/>
    <mergeCell ref="BQ124:BQ129"/>
    <mergeCell ref="BR124:BR129"/>
    <mergeCell ref="BT124:BT129"/>
    <mergeCell ref="BU124:BU129"/>
    <mergeCell ref="BV124:BV129"/>
    <mergeCell ref="BW124:BW129"/>
    <mergeCell ref="BX124:BX129"/>
    <mergeCell ref="P130:Q130"/>
    <mergeCell ref="V124:V129"/>
    <mergeCell ref="W124:W129"/>
    <mergeCell ref="X124:X129"/>
    <mergeCell ref="Y124:Y129"/>
    <mergeCell ref="Z124:Z129"/>
    <mergeCell ref="AA124:AA129"/>
    <mergeCell ref="AB124:AB129"/>
    <mergeCell ref="AC124:AC129"/>
    <mergeCell ref="AD124:AD129"/>
    <mergeCell ref="M123:M130"/>
    <mergeCell ref="N124:N129"/>
    <mergeCell ref="O124:O129"/>
    <mergeCell ref="P124:P129"/>
    <mergeCell ref="Q124:Q129"/>
    <mergeCell ref="R124:R129"/>
    <mergeCell ref="S124:S129"/>
    <mergeCell ref="T124:T129"/>
    <mergeCell ref="U124:U129"/>
    <mergeCell ref="D123:D130"/>
    <mergeCell ref="E123:E130"/>
    <mergeCell ref="F123:F130"/>
    <mergeCell ref="G123:G130"/>
    <mergeCell ref="H123:H130"/>
    <mergeCell ref="I123:I130"/>
    <mergeCell ref="J123:J130"/>
    <mergeCell ref="K123:K130"/>
    <mergeCell ref="L123:L130"/>
    <mergeCell ref="BP118:BP121"/>
    <mergeCell ref="BQ118:BQ121"/>
    <mergeCell ref="BR118:BR121"/>
    <mergeCell ref="BT118:BT121"/>
    <mergeCell ref="BU118:BU121"/>
    <mergeCell ref="BV118:BV121"/>
    <mergeCell ref="BW118:BW121"/>
    <mergeCell ref="BX118:BX121"/>
    <mergeCell ref="P122:Q122"/>
    <mergeCell ref="V118:V121"/>
    <mergeCell ref="W118:W121"/>
    <mergeCell ref="X118:X121"/>
    <mergeCell ref="Y118:Y121"/>
    <mergeCell ref="Z118:Z121"/>
    <mergeCell ref="AA118:AA121"/>
    <mergeCell ref="AB118:AB121"/>
    <mergeCell ref="AC118:AC121"/>
    <mergeCell ref="AD118:AD121"/>
    <mergeCell ref="N118:N121"/>
    <mergeCell ref="O118:O121"/>
    <mergeCell ref="P118:P121"/>
    <mergeCell ref="Q118:Q121"/>
    <mergeCell ref="R118:R121"/>
    <mergeCell ref="S118:S121"/>
    <mergeCell ref="T118:T121"/>
    <mergeCell ref="U118:U121"/>
    <mergeCell ref="D117:D122"/>
    <mergeCell ref="E117:E122"/>
    <mergeCell ref="F117:F122"/>
    <mergeCell ref="G117:G122"/>
    <mergeCell ref="H117:H122"/>
    <mergeCell ref="I117:I122"/>
    <mergeCell ref="J117:J122"/>
    <mergeCell ref="K117:K122"/>
    <mergeCell ref="L117:L122"/>
    <mergeCell ref="BP112:BP115"/>
    <mergeCell ref="BQ112:BQ115"/>
    <mergeCell ref="BR112:BR115"/>
    <mergeCell ref="BT112:BT115"/>
    <mergeCell ref="BU112:BU115"/>
    <mergeCell ref="BV112:BV115"/>
    <mergeCell ref="BW112:BW115"/>
    <mergeCell ref="BX112:BX115"/>
    <mergeCell ref="P116:Q116"/>
    <mergeCell ref="V112:V115"/>
    <mergeCell ref="W112:W115"/>
    <mergeCell ref="X112:X115"/>
    <mergeCell ref="Y112:Y115"/>
    <mergeCell ref="Z112:Z115"/>
    <mergeCell ref="AA112:AA115"/>
    <mergeCell ref="AB112:AB115"/>
    <mergeCell ref="AC112:AC115"/>
    <mergeCell ref="AD112:AD115"/>
    <mergeCell ref="N112:N115"/>
    <mergeCell ref="O112:O115"/>
    <mergeCell ref="P112:P115"/>
    <mergeCell ref="Q112:Q115"/>
    <mergeCell ref="R112:R115"/>
    <mergeCell ref="S112:S115"/>
    <mergeCell ref="T112:T115"/>
    <mergeCell ref="U112:U115"/>
    <mergeCell ref="D111:D116"/>
    <mergeCell ref="E111:E116"/>
    <mergeCell ref="F111:F116"/>
    <mergeCell ref="G111:G116"/>
    <mergeCell ref="H111:H116"/>
    <mergeCell ref="I111:I116"/>
    <mergeCell ref="J111:J116"/>
    <mergeCell ref="K111:K116"/>
    <mergeCell ref="L111:L116"/>
    <mergeCell ref="BP106:BP109"/>
    <mergeCell ref="BQ106:BQ109"/>
    <mergeCell ref="BR106:BR109"/>
    <mergeCell ref="BT106:BT109"/>
    <mergeCell ref="BU106:BU109"/>
    <mergeCell ref="BV106:BV109"/>
    <mergeCell ref="BW106:BW109"/>
    <mergeCell ref="BX106:BX109"/>
    <mergeCell ref="P110:Q110"/>
    <mergeCell ref="V106:V109"/>
    <mergeCell ref="W106:W109"/>
    <mergeCell ref="X106:X109"/>
    <mergeCell ref="Y106:Y109"/>
    <mergeCell ref="Z106:Z109"/>
    <mergeCell ref="AA106:AA109"/>
    <mergeCell ref="AB106:AB109"/>
    <mergeCell ref="AC106:AC109"/>
    <mergeCell ref="AD106:AD109"/>
    <mergeCell ref="N106:N109"/>
    <mergeCell ref="O106:O109"/>
    <mergeCell ref="P106:P109"/>
    <mergeCell ref="Q106:Q109"/>
    <mergeCell ref="R106:R109"/>
    <mergeCell ref="S106:S109"/>
    <mergeCell ref="T106:T109"/>
    <mergeCell ref="U106:U109"/>
    <mergeCell ref="D105:D110"/>
    <mergeCell ref="E105:E110"/>
    <mergeCell ref="F105:F110"/>
    <mergeCell ref="G105:G110"/>
    <mergeCell ref="H105:H110"/>
    <mergeCell ref="I105:I110"/>
    <mergeCell ref="J105:J110"/>
    <mergeCell ref="K105:K110"/>
    <mergeCell ref="L105:L110"/>
    <mergeCell ref="BP100:BP103"/>
    <mergeCell ref="BQ100:BQ103"/>
    <mergeCell ref="BR100:BR103"/>
    <mergeCell ref="BT100:BT103"/>
    <mergeCell ref="BU100:BU103"/>
    <mergeCell ref="BV100:BV103"/>
    <mergeCell ref="BW100:BW103"/>
    <mergeCell ref="BX100:BX103"/>
    <mergeCell ref="P104:Q104"/>
    <mergeCell ref="V100:V103"/>
    <mergeCell ref="W100:W103"/>
    <mergeCell ref="X100:X103"/>
    <mergeCell ref="Y100:Y103"/>
    <mergeCell ref="Z100:Z103"/>
    <mergeCell ref="AA100:AA103"/>
    <mergeCell ref="AB100:AB103"/>
    <mergeCell ref="AC100:AC103"/>
    <mergeCell ref="AD100:AD103"/>
    <mergeCell ref="N100:N103"/>
    <mergeCell ref="O100:O103"/>
    <mergeCell ref="P100:P103"/>
    <mergeCell ref="Q100:Q103"/>
    <mergeCell ref="R100:R103"/>
    <mergeCell ref="S100:S103"/>
    <mergeCell ref="T100:T103"/>
    <mergeCell ref="U100:U103"/>
    <mergeCell ref="D99:D104"/>
    <mergeCell ref="E99:E104"/>
    <mergeCell ref="F99:F104"/>
    <mergeCell ref="G99:G104"/>
    <mergeCell ref="H99:H104"/>
    <mergeCell ref="I99:I104"/>
    <mergeCell ref="J99:J104"/>
    <mergeCell ref="K99:K104"/>
    <mergeCell ref="L99:L104"/>
    <mergeCell ref="BP94:BP97"/>
    <mergeCell ref="BQ94:BQ97"/>
    <mergeCell ref="BR94:BR97"/>
    <mergeCell ref="BT94:BT97"/>
    <mergeCell ref="BU94:BU97"/>
    <mergeCell ref="BV94:BV97"/>
    <mergeCell ref="BW94:BW97"/>
    <mergeCell ref="BX94:BX97"/>
    <mergeCell ref="P98:Q98"/>
    <mergeCell ref="V94:V97"/>
    <mergeCell ref="W94:W97"/>
    <mergeCell ref="X94:X97"/>
    <mergeCell ref="Y94:Y97"/>
    <mergeCell ref="Z94:Z97"/>
    <mergeCell ref="AA94:AA97"/>
    <mergeCell ref="AB94:AB97"/>
    <mergeCell ref="AC94:AC97"/>
    <mergeCell ref="AD94:AD97"/>
    <mergeCell ref="N94:N97"/>
    <mergeCell ref="O94:O97"/>
    <mergeCell ref="P94:P97"/>
    <mergeCell ref="Q94:Q97"/>
    <mergeCell ref="R94:R97"/>
    <mergeCell ref="S94:S97"/>
    <mergeCell ref="T94:T97"/>
    <mergeCell ref="U94:U97"/>
    <mergeCell ref="D93:D98"/>
    <mergeCell ref="E93:E98"/>
    <mergeCell ref="F93:F98"/>
    <mergeCell ref="G93:G98"/>
    <mergeCell ref="H93:H98"/>
    <mergeCell ref="I93:I98"/>
    <mergeCell ref="J93:J98"/>
    <mergeCell ref="K93:K98"/>
    <mergeCell ref="L93:L98"/>
    <mergeCell ref="BP88:BP91"/>
    <mergeCell ref="BQ88:BQ91"/>
    <mergeCell ref="BR88:BR91"/>
    <mergeCell ref="BT88:BT91"/>
    <mergeCell ref="BU88:BU91"/>
    <mergeCell ref="BV88:BV91"/>
    <mergeCell ref="BW88:BW91"/>
    <mergeCell ref="BX88:BX91"/>
    <mergeCell ref="P92:Q92"/>
    <mergeCell ref="V88:V91"/>
    <mergeCell ref="W88:W91"/>
    <mergeCell ref="X88:X91"/>
    <mergeCell ref="Y88:Y91"/>
    <mergeCell ref="Z88:Z91"/>
    <mergeCell ref="AA88:AA91"/>
    <mergeCell ref="AB88:AB91"/>
    <mergeCell ref="AC88:AC91"/>
    <mergeCell ref="AD88:AD91"/>
    <mergeCell ref="N88:N91"/>
    <mergeCell ref="O88:O91"/>
    <mergeCell ref="P88:P91"/>
    <mergeCell ref="Q88:Q91"/>
    <mergeCell ref="R88:R91"/>
    <mergeCell ref="S88:S91"/>
    <mergeCell ref="T88:T91"/>
    <mergeCell ref="U88:U91"/>
    <mergeCell ref="D87:D92"/>
    <mergeCell ref="E87:E92"/>
    <mergeCell ref="F87:F92"/>
    <mergeCell ref="G87:G92"/>
    <mergeCell ref="H87:H92"/>
    <mergeCell ref="I87:I92"/>
    <mergeCell ref="J87:J92"/>
    <mergeCell ref="K87:K92"/>
    <mergeCell ref="L87:L92"/>
    <mergeCell ref="BP82:BP85"/>
    <mergeCell ref="BQ82:BQ85"/>
    <mergeCell ref="BR82:BR85"/>
    <mergeCell ref="BT82:BT85"/>
    <mergeCell ref="BU82:BU85"/>
    <mergeCell ref="BV82:BV85"/>
    <mergeCell ref="BW82:BW85"/>
    <mergeCell ref="BX82:BX85"/>
    <mergeCell ref="P86:Q86"/>
    <mergeCell ref="V82:V85"/>
    <mergeCell ref="W82:W85"/>
    <mergeCell ref="X82:X85"/>
    <mergeCell ref="Y82:Y85"/>
    <mergeCell ref="Z82:Z85"/>
    <mergeCell ref="AA82:AA85"/>
    <mergeCell ref="AB82:AB85"/>
    <mergeCell ref="AC82:AC85"/>
    <mergeCell ref="AD82:AD85"/>
    <mergeCell ref="N82:N85"/>
    <mergeCell ref="O82:O85"/>
    <mergeCell ref="P82:P85"/>
    <mergeCell ref="Q82:Q85"/>
    <mergeCell ref="R82:R85"/>
    <mergeCell ref="S82:S85"/>
    <mergeCell ref="T82:T85"/>
    <mergeCell ref="U82:U85"/>
    <mergeCell ref="D81:D86"/>
    <mergeCell ref="E81:E86"/>
    <mergeCell ref="F81:F86"/>
    <mergeCell ref="G81:G86"/>
    <mergeCell ref="H81:H86"/>
    <mergeCell ref="I81:I86"/>
    <mergeCell ref="J81:J86"/>
    <mergeCell ref="K81:K86"/>
    <mergeCell ref="L81:L86"/>
    <mergeCell ref="BP76:BP79"/>
    <mergeCell ref="BQ76:BQ79"/>
    <mergeCell ref="BR76:BR79"/>
    <mergeCell ref="BT76:BT79"/>
    <mergeCell ref="BU76:BU79"/>
    <mergeCell ref="BV76:BV79"/>
    <mergeCell ref="BW76:BW79"/>
    <mergeCell ref="BX76:BX79"/>
    <mergeCell ref="P80:Q80"/>
    <mergeCell ref="V76:V79"/>
    <mergeCell ref="W76:W79"/>
    <mergeCell ref="X76:X79"/>
    <mergeCell ref="Y76:Y79"/>
    <mergeCell ref="Z76:Z79"/>
    <mergeCell ref="AA76:AA79"/>
    <mergeCell ref="AB76:AB79"/>
    <mergeCell ref="AC76:AC79"/>
    <mergeCell ref="AD76:AD79"/>
    <mergeCell ref="N76:N79"/>
    <mergeCell ref="O76:O79"/>
    <mergeCell ref="P76:P79"/>
    <mergeCell ref="Q76:Q79"/>
    <mergeCell ref="R76:R79"/>
    <mergeCell ref="S76:S79"/>
    <mergeCell ref="T76:T79"/>
    <mergeCell ref="U76:U79"/>
    <mergeCell ref="D75:D80"/>
    <mergeCell ref="E75:E80"/>
    <mergeCell ref="F75:F80"/>
    <mergeCell ref="G75:G80"/>
    <mergeCell ref="H75:H80"/>
    <mergeCell ref="I75:I80"/>
    <mergeCell ref="J75:J80"/>
    <mergeCell ref="K75:K80"/>
    <mergeCell ref="L75:L80"/>
    <mergeCell ref="BP70:BP73"/>
    <mergeCell ref="BQ70:BQ73"/>
    <mergeCell ref="BR70:BR73"/>
    <mergeCell ref="BT70:BT73"/>
    <mergeCell ref="BU70:BU73"/>
    <mergeCell ref="BV70:BV73"/>
    <mergeCell ref="BW70:BW73"/>
    <mergeCell ref="BX70:BX73"/>
    <mergeCell ref="P74:Q74"/>
    <mergeCell ref="V70:V73"/>
    <mergeCell ref="W70:W73"/>
    <mergeCell ref="X70:X73"/>
    <mergeCell ref="Y70:Y73"/>
    <mergeCell ref="Z70:Z73"/>
    <mergeCell ref="AA70:AA73"/>
    <mergeCell ref="AB70:AB73"/>
    <mergeCell ref="AC70:AC73"/>
    <mergeCell ref="AD70:AD73"/>
    <mergeCell ref="N70:N73"/>
    <mergeCell ref="O70:O73"/>
    <mergeCell ref="P70:P73"/>
    <mergeCell ref="Q70:Q73"/>
    <mergeCell ref="R70:R73"/>
    <mergeCell ref="S70:S73"/>
    <mergeCell ref="T70:T73"/>
    <mergeCell ref="U70:U73"/>
    <mergeCell ref="D69:D74"/>
    <mergeCell ref="E69:E74"/>
    <mergeCell ref="F69:F74"/>
    <mergeCell ref="G69:G74"/>
    <mergeCell ref="H69:H74"/>
    <mergeCell ref="I69:I74"/>
    <mergeCell ref="J69:J74"/>
    <mergeCell ref="K69:K74"/>
    <mergeCell ref="L69:L74"/>
    <mergeCell ref="BP64:BP67"/>
    <mergeCell ref="BQ64:BQ67"/>
    <mergeCell ref="BR64:BR67"/>
    <mergeCell ref="BT64:BT67"/>
    <mergeCell ref="BU64:BU67"/>
    <mergeCell ref="BV64:BV67"/>
    <mergeCell ref="BW64:BW67"/>
    <mergeCell ref="BX64:BX67"/>
    <mergeCell ref="P68:Q68"/>
    <mergeCell ref="V64:V67"/>
    <mergeCell ref="W64:W67"/>
    <mergeCell ref="X64:X67"/>
    <mergeCell ref="Y64:Y67"/>
    <mergeCell ref="Z64:Z67"/>
    <mergeCell ref="AA64:AA67"/>
    <mergeCell ref="AB64:AB67"/>
    <mergeCell ref="AC64:AC67"/>
    <mergeCell ref="AD64:AD67"/>
    <mergeCell ref="N64:N67"/>
    <mergeCell ref="O64:O67"/>
    <mergeCell ref="P64:P67"/>
    <mergeCell ref="Q64:Q67"/>
    <mergeCell ref="R64:R67"/>
    <mergeCell ref="S64:S67"/>
    <mergeCell ref="T64:T67"/>
    <mergeCell ref="U64:U67"/>
    <mergeCell ref="D63:D68"/>
    <mergeCell ref="E63:E68"/>
    <mergeCell ref="F63:F68"/>
    <mergeCell ref="G63:G68"/>
    <mergeCell ref="H63:H68"/>
    <mergeCell ref="I63:I68"/>
    <mergeCell ref="J63:J68"/>
    <mergeCell ref="K63:K68"/>
    <mergeCell ref="L63:L68"/>
    <mergeCell ref="BP58:BP61"/>
    <mergeCell ref="BQ58:BQ61"/>
    <mergeCell ref="BR58:BR61"/>
    <mergeCell ref="BT58:BT61"/>
    <mergeCell ref="BU58:BU61"/>
    <mergeCell ref="BV58:BV61"/>
    <mergeCell ref="BW58:BW61"/>
    <mergeCell ref="BX58:BX61"/>
    <mergeCell ref="P62:Q62"/>
    <mergeCell ref="V58:V61"/>
    <mergeCell ref="W58:W61"/>
    <mergeCell ref="X58:X61"/>
    <mergeCell ref="Y58:Y61"/>
    <mergeCell ref="Z58:Z61"/>
    <mergeCell ref="AA58:AA61"/>
    <mergeCell ref="AB58:AB61"/>
    <mergeCell ref="AC58:AC61"/>
    <mergeCell ref="AD58:AD61"/>
    <mergeCell ref="BT52:BT55"/>
    <mergeCell ref="BU52:BU55"/>
    <mergeCell ref="BV52:BV55"/>
    <mergeCell ref="BW52:BW55"/>
    <mergeCell ref="BX52:BX55"/>
    <mergeCell ref="P56:Q56"/>
    <mergeCell ref="D57:D62"/>
    <mergeCell ref="E57:E62"/>
    <mergeCell ref="F57:F62"/>
    <mergeCell ref="G57:G62"/>
    <mergeCell ref="H57:H62"/>
    <mergeCell ref="I57:I62"/>
    <mergeCell ref="J57:J62"/>
    <mergeCell ref="K57:K62"/>
    <mergeCell ref="L57:L62"/>
    <mergeCell ref="M57:M62"/>
    <mergeCell ref="N58:N61"/>
    <mergeCell ref="O58:O61"/>
    <mergeCell ref="P58:P61"/>
    <mergeCell ref="Q58:Q61"/>
    <mergeCell ref="R58:R61"/>
    <mergeCell ref="S58:S61"/>
    <mergeCell ref="T58:T61"/>
    <mergeCell ref="U58:U61"/>
    <mergeCell ref="Y52:Y55"/>
    <mergeCell ref="Z52:Z55"/>
    <mergeCell ref="AA52:AA55"/>
    <mergeCell ref="AB52:AB55"/>
    <mergeCell ref="AC52:AC55"/>
    <mergeCell ref="AD52:AD55"/>
    <mergeCell ref="BP52:BP55"/>
    <mergeCell ref="BQ52:BQ55"/>
    <mergeCell ref="BR52:BR55"/>
    <mergeCell ref="D51:D56"/>
    <mergeCell ref="E51:E56"/>
    <mergeCell ref="F51:F56"/>
    <mergeCell ref="G51:G56"/>
    <mergeCell ref="H51:H56"/>
    <mergeCell ref="I51:I56"/>
    <mergeCell ref="J51:J56"/>
    <mergeCell ref="K51:K56"/>
    <mergeCell ref="L51:L56"/>
    <mergeCell ref="AL7:AL8"/>
    <mergeCell ref="AM7:AM8"/>
    <mergeCell ref="AN7:AN8"/>
    <mergeCell ref="AQ7:AQ8"/>
    <mergeCell ref="AR7:AR8"/>
    <mergeCell ref="AS7:AS8"/>
    <mergeCell ref="AO7:AO8"/>
    <mergeCell ref="G7:G8"/>
    <mergeCell ref="Z47:AD47"/>
    <mergeCell ref="Z7:AD7"/>
    <mergeCell ref="Q47:Q48"/>
    <mergeCell ref="R47:R48"/>
    <mergeCell ref="S47:Y47"/>
    <mergeCell ref="D47:D48"/>
    <mergeCell ref="E47:E48"/>
    <mergeCell ref="AD3:AP3"/>
    <mergeCell ref="AD4:AP4"/>
    <mergeCell ref="AE7:AF8"/>
    <mergeCell ref="AG7:AG8"/>
    <mergeCell ref="AH7:AH8"/>
    <mergeCell ref="AI7:AI8"/>
    <mergeCell ref="AJ7:AJ8"/>
    <mergeCell ref="AK7:AK8"/>
    <mergeCell ref="AP7:AP8"/>
    <mergeCell ref="AD5:AP5"/>
    <mergeCell ref="E6:AE6"/>
    <mergeCell ref="AE47:AF48"/>
    <mergeCell ref="AE156:AF157"/>
    <mergeCell ref="AJ47:AJ48"/>
    <mergeCell ref="AK47:AK48"/>
    <mergeCell ref="AL47:AL48"/>
    <mergeCell ref="AM47:AM48"/>
    <mergeCell ref="AN47:AN48"/>
    <mergeCell ref="AJ156:AJ157"/>
    <mergeCell ref="AK156:AK157"/>
    <mergeCell ref="AL156:AL157"/>
    <mergeCell ref="AM156:AM157"/>
    <mergeCell ref="AN156:AN157"/>
    <mergeCell ref="AI47:AI48"/>
    <mergeCell ref="AH156:AH157"/>
    <mergeCell ref="AI156:AI157"/>
    <mergeCell ref="AG47:AG48"/>
    <mergeCell ref="AH47:AH48"/>
    <mergeCell ref="AO156:AO157"/>
    <mergeCell ref="AP156:AP157"/>
    <mergeCell ref="E7:E8"/>
    <mergeCell ref="F7:F8"/>
    <mergeCell ref="AQ156:AQ157"/>
    <mergeCell ref="AR47:AR48"/>
    <mergeCell ref="AS47:AS48"/>
    <mergeCell ref="AR156:AR157"/>
    <mergeCell ref="AS156:AS157"/>
    <mergeCell ref="AP47:AP48"/>
    <mergeCell ref="AQ47:AQ48"/>
    <mergeCell ref="AO47:AO48"/>
    <mergeCell ref="AT833:AT834"/>
    <mergeCell ref="AT156:AT157"/>
    <mergeCell ref="BN156:BN157"/>
    <mergeCell ref="BM833:BM834"/>
    <mergeCell ref="BL156:BL157"/>
    <mergeCell ref="BN833:BN834"/>
    <mergeCell ref="BL833:BL834"/>
    <mergeCell ref="BM156:BM157"/>
    <mergeCell ref="BM7:BM8"/>
    <mergeCell ref="AV7:AV8"/>
    <mergeCell ref="AV47:AV48"/>
    <mergeCell ref="AV156:AV157"/>
    <mergeCell ref="AV833:AV834"/>
    <mergeCell ref="AT7:AT8"/>
    <mergeCell ref="AT47:AT48"/>
    <mergeCell ref="BN7:BN8"/>
    <mergeCell ref="BL7:BL8"/>
    <mergeCell ref="BN47:BN48"/>
    <mergeCell ref="BM47:BM48"/>
    <mergeCell ref="BL47:BL48"/>
    <mergeCell ref="AU7:AU8"/>
    <mergeCell ref="AU47:AU48"/>
    <mergeCell ref="AU156:AU157"/>
    <mergeCell ref="AU833:AU834"/>
    <mergeCell ref="AE835:AG835"/>
    <mergeCell ref="AE49:AG49"/>
    <mergeCell ref="AE158:AG158"/>
    <mergeCell ref="P156:P157"/>
    <mergeCell ref="P833:P834"/>
    <mergeCell ref="Q833:Q834"/>
    <mergeCell ref="AG833:AG834"/>
    <mergeCell ref="AG156:AG157"/>
    <mergeCell ref="D833:D834"/>
    <mergeCell ref="E833:E834"/>
    <mergeCell ref="F833:F834"/>
    <mergeCell ref="G833:G834"/>
    <mergeCell ref="K833:K834"/>
    <mergeCell ref="H833:J833"/>
    <mergeCell ref="N156:O157"/>
    <mergeCell ref="N833:O834"/>
    <mergeCell ref="L833:L834"/>
    <mergeCell ref="R833:R834"/>
    <mergeCell ref="M833:M834"/>
    <mergeCell ref="AE833:AF834"/>
    <mergeCell ref="Q156:Q157"/>
    <mergeCell ref="R156:R157"/>
    <mergeCell ref="S156:Y156"/>
    <mergeCell ref="Z156:AD156"/>
    <mergeCell ref="H156:J156"/>
    <mergeCell ref="W52:W55"/>
    <mergeCell ref="X52:X55"/>
    <mergeCell ref="M156:M157"/>
    <mergeCell ref="D156:D157"/>
    <mergeCell ref="E156:E157"/>
    <mergeCell ref="F156:F157"/>
    <mergeCell ref="G156:G157"/>
    <mergeCell ref="AP833:AP834"/>
    <mergeCell ref="AQ833:AQ834"/>
    <mergeCell ref="AR833:AR834"/>
    <mergeCell ref="AS833:AS834"/>
    <mergeCell ref="S833:Y833"/>
    <mergeCell ref="Z833:AD833"/>
    <mergeCell ref="AH833:AH834"/>
    <mergeCell ref="AI833:AI834"/>
    <mergeCell ref="AJ833:AJ834"/>
    <mergeCell ref="AK833:AK834"/>
    <mergeCell ref="AL833:AL834"/>
    <mergeCell ref="AM833:AM834"/>
    <mergeCell ref="AN833:AN834"/>
    <mergeCell ref="AO833:AO834"/>
    <mergeCell ref="L156:L157"/>
    <mergeCell ref="P47:P48"/>
    <mergeCell ref="N7:O8"/>
    <mergeCell ref="N47:O48"/>
    <mergeCell ref="R7:R8"/>
    <mergeCell ref="S7:Y7"/>
    <mergeCell ref="Q7:Q8"/>
    <mergeCell ref="P7:P8"/>
    <mergeCell ref="M51:M56"/>
    <mergeCell ref="N52:N55"/>
    <mergeCell ref="O52:O55"/>
    <mergeCell ref="P52:P55"/>
    <mergeCell ref="Q52:Q55"/>
    <mergeCell ref="R52:R55"/>
    <mergeCell ref="S52:S55"/>
    <mergeCell ref="T52:T55"/>
    <mergeCell ref="U52:U55"/>
    <mergeCell ref="V52:V55"/>
    <mergeCell ref="K156:K157"/>
    <mergeCell ref="D7:D8"/>
    <mergeCell ref="K7:K8"/>
    <mergeCell ref="L7:L8"/>
    <mergeCell ref="M7:M8"/>
    <mergeCell ref="K47:K48"/>
    <mergeCell ref="G47:G48"/>
    <mergeCell ref="L47:L48"/>
    <mergeCell ref="M47:M48"/>
    <mergeCell ref="F47:F48"/>
    <mergeCell ref="H7:J7"/>
    <mergeCell ref="H47:J47"/>
    <mergeCell ref="D460:D465"/>
    <mergeCell ref="E460:E465"/>
    <mergeCell ref="F460:F465"/>
    <mergeCell ref="G460:G465"/>
    <mergeCell ref="H460:H465"/>
    <mergeCell ref="I460:I465"/>
    <mergeCell ref="J460:J465"/>
    <mergeCell ref="K460:K465"/>
    <mergeCell ref="L460:L465"/>
    <mergeCell ref="M460:M465"/>
    <mergeCell ref="M63:M68"/>
    <mergeCell ref="M69:M74"/>
    <mergeCell ref="M75:M80"/>
    <mergeCell ref="M81:M86"/>
    <mergeCell ref="M87:M92"/>
    <mergeCell ref="M93:M98"/>
    <mergeCell ref="M99:M104"/>
    <mergeCell ref="M105:M110"/>
    <mergeCell ref="M111:M116"/>
    <mergeCell ref="M117:M122"/>
    <mergeCell ref="N461:N464"/>
    <mergeCell ref="O461:O464"/>
    <mergeCell ref="P461:P464"/>
    <mergeCell ref="Q461:Q464"/>
    <mergeCell ref="R461:R464"/>
    <mergeCell ref="S461:S464"/>
    <mergeCell ref="T461:T464"/>
    <mergeCell ref="U461:U464"/>
    <mergeCell ref="V461:V464"/>
    <mergeCell ref="W461:W464"/>
    <mergeCell ref="X461:X464"/>
    <mergeCell ref="Y461:Y464"/>
    <mergeCell ref="Z461:Z464"/>
    <mergeCell ref="AA461:AA464"/>
    <mergeCell ref="AB461:AB464"/>
    <mergeCell ref="AC461:AC464"/>
    <mergeCell ref="AD461:AD464"/>
    <mergeCell ref="BP461:BP464"/>
    <mergeCell ref="BQ461:BQ464"/>
    <mergeCell ref="BR461:BR464"/>
    <mergeCell ref="BT461:BT464"/>
    <mergeCell ref="BU461:BU464"/>
    <mergeCell ref="BV461:BV464"/>
    <mergeCell ref="BW461:BW464"/>
    <mergeCell ref="BX461:BX464"/>
    <mergeCell ref="P465:Q465"/>
    <mergeCell ref="D466:D471"/>
    <mergeCell ref="E466:E471"/>
    <mergeCell ref="F466:F471"/>
    <mergeCell ref="G466:G471"/>
    <mergeCell ref="H466:H471"/>
    <mergeCell ref="I466:I471"/>
    <mergeCell ref="J466:J471"/>
    <mergeCell ref="K466:K471"/>
    <mergeCell ref="L466:L471"/>
    <mergeCell ref="M466:M471"/>
    <mergeCell ref="N467:N470"/>
    <mergeCell ref="O467:O470"/>
    <mergeCell ref="P467:P470"/>
    <mergeCell ref="Q467:Q470"/>
    <mergeCell ref="R467:R470"/>
    <mergeCell ref="S467:S470"/>
    <mergeCell ref="T467:T470"/>
    <mergeCell ref="U467:U470"/>
    <mergeCell ref="V467:V470"/>
    <mergeCell ref="W467:W470"/>
    <mergeCell ref="X467:X470"/>
    <mergeCell ref="Y467:Y470"/>
    <mergeCell ref="Z467:Z470"/>
    <mergeCell ref="AA467:AA470"/>
    <mergeCell ref="AB467:AB470"/>
    <mergeCell ref="AC467:AC470"/>
    <mergeCell ref="AD467:AD470"/>
    <mergeCell ref="BP467:BP470"/>
    <mergeCell ref="BQ467:BQ470"/>
    <mergeCell ref="BR467:BR470"/>
    <mergeCell ref="BT467:BT470"/>
    <mergeCell ref="BU467:BU470"/>
    <mergeCell ref="BV467:BV470"/>
    <mergeCell ref="BW467:BW470"/>
    <mergeCell ref="BX467:BX470"/>
    <mergeCell ref="P471:Q471"/>
    <mergeCell ref="D472:D477"/>
    <mergeCell ref="E472:E477"/>
    <mergeCell ref="F472:F477"/>
    <mergeCell ref="G472:G477"/>
    <mergeCell ref="H472:H477"/>
    <mergeCell ref="I472:I477"/>
    <mergeCell ref="J472:J477"/>
    <mergeCell ref="K472:K477"/>
    <mergeCell ref="L472:L477"/>
    <mergeCell ref="M472:M477"/>
    <mergeCell ref="N473:N476"/>
    <mergeCell ref="O473:O476"/>
    <mergeCell ref="P473:P476"/>
    <mergeCell ref="Q473:Q476"/>
    <mergeCell ref="R473:R476"/>
    <mergeCell ref="S473:S476"/>
    <mergeCell ref="T473:T476"/>
    <mergeCell ref="U473:U476"/>
    <mergeCell ref="V473:V476"/>
    <mergeCell ref="W473:W476"/>
    <mergeCell ref="X473:X476"/>
    <mergeCell ref="Y473:Y476"/>
    <mergeCell ref="Z473:Z476"/>
    <mergeCell ref="AA473:AA476"/>
    <mergeCell ref="AB473:AB476"/>
    <mergeCell ref="AC473:AC476"/>
    <mergeCell ref="AD473:AD476"/>
    <mergeCell ref="BP473:BP476"/>
    <mergeCell ref="BQ473:BQ476"/>
    <mergeCell ref="BR473:BR476"/>
    <mergeCell ref="BT473:BT476"/>
    <mergeCell ref="BU473:BU476"/>
    <mergeCell ref="BV473:BV476"/>
    <mergeCell ref="BW473:BW476"/>
    <mergeCell ref="BX473:BX476"/>
    <mergeCell ref="P477:Q477"/>
    <mergeCell ref="D478:D483"/>
    <mergeCell ref="E478:E483"/>
    <mergeCell ref="F478:F483"/>
    <mergeCell ref="G478:G483"/>
    <mergeCell ref="H478:H483"/>
    <mergeCell ref="I478:I483"/>
    <mergeCell ref="J478:J483"/>
    <mergeCell ref="K478:K483"/>
    <mergeCell ref="L478:L483"/>
    <mergeCell ref="M478:M483"/>
    <mergeCell ref="N479:N482"/>
    <mergeCell ref="O479:O482"/>
    <mergeCell ref="P479:P482"/>
    <mergeCell ref="Q479:Q482"/>
    <mergeCell ref="R479:R482"/>
    <mergeCell ref="S479:S482"/>
    <mergeCell ref="T479:T482"/>
    <mergeCell ref="U479:U482"/>
    <mergeCell ref="V479:V482"/>
    <mergeCell ref="W479:W482"/>
    <mergeCell ref="X479:X482"/>
    <mergeCell ref="Y479:Y482"/>
    <mergeCell ref="Z479:Z482"/>
    <mergeCell ref="AA479:AA482"/>
    <mergeCell ref="AB479:AB482"/>
    <mergeCell ref="AC479:AC482"/>
    <mergeCell ref="AD479:AD482"/>
    <mergeCell ref="BP479:BP482"/>
    <mergeCell ref="BQ479:BQ482"/>
    <mergeCell ref="BR479:BR482"/>
    <mergeCell ref="BT479:BT482"/>
    <mergeCell ref="BU479:BU482"/>
    <mergeCell ref="BV479:BV482"/>
    <mergeCell ref="BW479:BW482"/>
    <mergeCell ref="BX479:BX482"/>
    <mergeCell ref="P483:Q483"/>
    <mergeCell ref="D484:D489"/>
    <mergeCell ref="E484:E489"/>
    <mergeCell ref="F484:F489"/>
    <mergeCell ref="G484:G489"/>
    <mergeCell ref="H484:H489"/>
    <mergeCell ref="I484:I489"/>
    <mergeCell ref="J484:J489"/>
    <mergeCell ref="K484:K489"/>
    <mergeCell ref="L484:L489"/>
    <mergeCell ref="M484:M489"/>
    <mergeCell ref="N485:N488"/>
    <mergeCell ref="O485:O488"/>
    <mergeCell ref="P485:P488"/>
    <mergeCell ref="Q485:Q488"/>
    <mergeCell ref="R485:R488"/>
    <mergeCell ref="S485:S488"/>
    <mergeCell ref="T485:T488"/>
    <mergeCell ref="U485:U488"/>
    <mergeCell ref="V485:V488"/>
    <mergeCell ref="W485:W488"/>
    <mergeCell ref="X485:X488"/>
    <mergeCell ref="Y485:Y488"/>
    <mergeCell ref="Z485:Z488"/>
    <mergeCell ref="AA485:AA488"/>
    <mergeCell ref="AB485:AB488"/>
    <mergeCell ref="AC485:AC488"/>
    <mergeCell ref="AD485:AD488"/>
    <mergeCell ref="BP485:BP488"/>
    <mergeCell ref="BQ485:BQ488"/>
    <mergeCell ref="BR485:BR488"/>
    <mergeCell ref="BT485:BT488"/>
    <mergeCell ref="BU485:BU488"/>
    <mergeCell ref="BV485:BV488"/>
    <mergeCell ref="BW485:BW488"/>
    <mergeCell ref="BX485:BX488"/>
    <mergeCell ref="P489:Q489"/>
    <mergeCell ref="D490:D495"/>
    <mergeCell ref="E490:E495"/>
    <mergeCell ref="F490:F495"/>
    <mergeCell ref="G490:G495"/>
    <mergeCell ref="H490:H495"/>
    <mergeCell ref="I490:I495"/>
    <mergeCell ref="J490:J495"/>
    <mergeCell ref="K490:K495"/>
    <mergeCell ref="L490:L495"/>
    <mergeCell ref="M490:M495"/>
    <mergeCell ref="N491:N494"/>
    <mergeCell ref="O491:O494"/>
    <mergeCell ref="P491:P494"/>
    <mergeCell ref="Q491:Q494"/>
    <mergeCell ref="R491:R494"/>
    <mergeCell ref="S491:S494"/>
    <mergeCell ref="T491:T494"/>
    <mergeCell ref="U491:U494"/>
    <mergeCell ref="V491:V494"/>
    <mergeCell ref="W491:W494"/>
    <mergeCell ref="X491:X494"/>
    <mergeCell ref="Y491:Y494"/>
    <mergeCell ref="Z491:Z494"/>
    <mergeCell ref="AA491:AA494"/>
    <mergeCell ref="AB491:AB494"/>
    <mergeCell ref="AC491:AC494"/>
    <mergeCell ref="AD491:AD494"/>
    <mergeCell ref="BP491:BP494"/>
    <mergeCell ref="BQ491:BQ494"/>
    <mergeCell ref="BR491:BR494"/>
    <mergeCell ref="BT491:BT494"/>
    <mergeCell ref="BU491:BU494"/>
    <mergeCell ref="BV491:BV494"/>
    <mergeCell ref="BW491:BW494"/>
    <mergeCell ref="BX491:BX494"/>
    <mergeCell ref="P495:Q495"/>
    <mergeCell ref="D496:D501"/>
    <mergeCell ref="E496:E501"/>
    <mergeCell ref="F496:F501"/>
    <mergeCell ref="G496:G501"/>
    <mergeCell ref="H496:H501"/>
    <mergeCell ref="I496:I501"/>
    <mergeCell ref="J496:J501"/>
    <mergeCell ref="K496:K501"/>
    <mergeCell ref="L496:L501"/>
    <mergeCell ref="M496:M501"/>
    <mergeCell ref="N497:N500"/>
    <mergeCell ref="O497:O500"/>
    <mergeCell ref="P497:P500"/>
    <mergeCell ref="Q497:Q500"/>
    <mergeCell ref="R497:R500"/>
    <mergeCell ref="S497:S500"/>
    <mergeCell ref="T497:T500"/>
    <mergeCell ref="U497:U500"/>
    <mergeCell ref="V497:V500"/>
    <mergeCell ref="W497:W500"/>
    <mergeCell ref="X497:X500"/>
    <mergeCell ref="Y497:Y500"/>
    <mergeCell ref="Z497:Z500"/>
    <mergeCell ref="AA497:AA500"/>
    <mergeCell ref="AB497:AB500"/>
    <mergeCell ref="AC497:AC500"/>
    <mergeCell ref="AD497:AD500"/>
    <mergeCell ref="BP497:BP500"/>
    <mergeCell ref="BQ497:BQ500"/>
    <mergeCell ref="BR497:BR500"/>
    <mergeCell ref="BT497:BT500"/>
    <mergeCell ref="BU497:BU500"/>
    <mergeCell ref="BV497:BV500"/>
    <mergeCell ref="BW497:BW500"/>
    <mergeCell ref="BX497:BX500"/>
    <mergeCell ref="P501:Q501"/>
    <mergeCell ref="D502:D507"/>
    <mergeCell ref="E502:E507"/>
    <mergeCell ref="F502:F507"/>
    <mergeCell ref="G502:G507"/>
    <mergeCell ref="H502:H507"/>
    <mergeCell ref="I502:I507"/>
    <mergeCell ref="J502:J507"/>
    <mergeCell ref="K502:K507"/>
    <mergeCell ref="L502:L507"/>
    <mergeCell ref="M502:M507"/>
    <mergeCell ref="N503:N506"/>
    <mergeCell ref="O503:O506"/>
    <mergeCell ref="P503:P506"/>
    <mergeCell ref="Q503:Q506"/>
    <mergeCell ref="R503:R506"/>
    <mergeCell ref="S503:S506"/>
    <mergeCell ref="T503:T506"/>
    <mergeCell ref="U503:U506"/>
    <mergeCell ref="V503:V506"/>
    <mergeCell ref="W503:W506"/>
    <mergeCell ref="X503:X506"/>
    <mergeCell ref="Y503:Y506"/>
    <mergeCell ref="Z503:Z506"/>
    <mergeCell ref="AA503:AA506"/>
    <mergeCell ref="AB503:AB506"/>
    <mergeCell ref="AC503:AC506"/>
    <mergeCell ref="AD503:AD506"/>
    <mergeCell ref="BP503:BP506"/>
    <mergeCell ref="BQ503:BQ506"/>
    <mergeCell ref="BR503:BR506"/>
    <mergeCell ref="BT503:BT506"/>
    <mergeCell ref="BU503:BU506"/>
    <mergeCell ref="BV503:BV506"/>
    <mergeCell ref="BW503:BW506"/>
    <mergeCell ref="BX503:BX506"/>
    <mergeCell ref="P507:Q507"/>
    <mergeCell ref="D508:D513"/>
    <mergeCell ref="E508:E513"/>
    <mergeCell ref="F508:F513"/>
    <mergeCell ref="G508:G513"/>
    <mergeCell ref="H508:H513"/>
    <mergeCell ref="I508:I513"/>
    <mergeCell ref="J508:J513"/>
    <mergeCell ref="K508:K513"/>
    <mergeCell ref="L508:L513"/>
    <mergeCell ref="M508:M513"/>
    <mergeCell ref="N509:N512"/>
    <mergeCell ref="O509:O512"/>
    <mergeCell ref="P509:P512"/>
    <mergeCell ref="Q509:Q512"/>
    <mergeCell ref="R509:R512"/>
    <mergeCell ref="S509:S512"/>
    <mergeCell ref="T509:T512"/>
    <mergeCell ref="U509:U512"/>
    <mergeCell ref="V509:V512"/>
    <mergeCell ref="W509:W512"/>
    <mergeCell ref="X509:X512"/>
    <mergeCell ref="Y509:Y512"/>
    <mergeCell ref="Z509:Z512"/>
    <mergeCell ref="AA509:AA512"/>
    <mergeCell ref="AB509:AB512"/>
    <mergeCell ref="AC509:AC512"/>
    <mergeCell ref="AD509:AD512"/>
    <mergeCell ref="BP509:BP512"/>
    <mergeCell ref="BQ509:BQ512"/>
    <mergeCell ref="BR509:BR512"/>
    <mergeCell ref="BT509:BT512"/>
    <mergeCell ref="BU509:BU512"/>
    <mergeCell ref="BV509:BV512"/>
    <mergeCell ref="BW509:BW512"/>
    <mergeCell ref="BX509:BX512"/>
    <mergeCell ref="P513:Q513"/>
    <mergeCell ref="D514:D519"/>
    <mergeCell ref="E514:E519"/>
    <mergeCell ref="F514:F519"/>
    <mergeCell ref="G514:G519"/>
    <mergeCell ref="H514:H519"/>
    <mergeCell ref="I514:I519"/>
    <mergeCell ref="J514:J519"/>
    <mergeCell ref="K514:K519"/>
    <mergeCell ref="L514:L519"/>
    <mergeCell ref="M514:M519"/>
    <mergeCell ref="N515:N518"/>
    <mergeCell ref="O515:O518"/>
    <mergeCell ref="P515:P518"/>
    <mergeCell ref="Q515:Q518"/>
    <mergeCell ref="R515:R518"/>
    <mergeCell ref="S515:S518"/>
    <mergeCell ref="T515:T518"/>
    <mergeCell ref="U515:U518"/>
    <mergeCell ref="V515:V518"/>
    <mergeCell ref="W515:W518"/>
    <mergeCell ref="X515:X518"/>
    <mergeCell ref="Y515:Y518"/>
    <mergeCell ref="Z515:Z518"/>
    <mergeCell ref="AA515:AA518"/>
    <mergeCell ref="AB515:AB518"/>
    <mergeCell ref="AC515:AC518"/>
    <mergeCell ref="AD515:AD518"/>
    <mergeCell ref="BP515:BP518"/>
    <mergeCell ref="BQ515:BQ518"/>
    <mergeCell ref="BR515:BR518"/>
    <mergeCell ref="BT515:BT518"/>
    <mergeCell ref="BU515:BU518"/>
    <mergeCell ref="BV515:BV518"/>
    <mergeCell ref="BW515:BW518"/>
    <mergeCell ref="BX515:BX518"/>
    <mergeCell ref="P519:Q519"/>
    <mergeCell ref="D520:D525"/>
    <mergeCell ref="E520:E525"/>
    <mergeCell ref="F520:F525"/>
    <mergeCell ref="G520:G525"/>
    <mergeCell ref="H520:H525"/>
    <mergeCell ref="I520:I525"/>
    <mergeCell ref="J520:J525"/>
    <mergeCell ref="K520:K525"/>
    <mergeCell ref="L520:L525"/>
    <mergeCell ref="M520:M525"/>
    <mergeCell ref="N521:N524"/>
    <mergeCell ref="O521:O524"/>
    <mergeCell ref="P521:P524"/>
    <mergeCell ref="Q521:Q524"/>
    <mergeCell ref="R521:R524"/>
    <mergeCell ref="S521:S524"/>
    <mergeCell ref="T521:T524"/>
    <mergeCell ref="U521:U524"/>
    <mergeCell ref="V521:V524"/>
    <mergeCell ref="W521:W524"/>
    <mergeCell ref="X521:X524"/>
    <mergeCell ref="Y521:Y524"/>
    <mergeCell ref="Z521:Z524"/>
    <mergeCell ref="AA521:AA524"/>
    <mergeCell ref="AB521:AB524"/>
    <mergeCell ref="AC521:AC524"/>
    <mergeCell ref="AD521:AD524"/>
    <mergeCell ref="BP521:BP524"/>
    <mergeCell ref="BQ521:BQ524"/>
    <mergeCell ref="BR521:BR524"/>
    <mergeCell ref="BT521:BT524"/>
    <mergeCell ref="BU521:BU524"/>
    <mergeCell ref="BV521:BV524"/>
    <mergeCell ref="BW521:BW524"/>
    <mergeCell ref="BX521:BX524"/>
    <mergeCell ref="P525:Q525"/>
    <mergeCell ref="D526:D531"/>
    <mergeCell ref="E526:E531"/>
    <mergeCell ref="F526:F531"/>
    <mergeCell ref="G526:G531"/>
    <mergeCell ref="H526:H531"/>
    <mergeCell ref="I526:I531"/>
    <mergeCell ref="J526:J531"/>
    <mergeCell ref="K526:K531"/>
    <mergeCell ref="L526:L531"/>
    <mergeCell ref="M526:M531"/>
    <mergeCell ref="N527:N530"/>
    <mergeCell ref="O527:O530"/>
    <mergeCell ref="P527:P530"/>
    <mergeCell ref="Q527:Q530"/>
    <mergeCell ref="R527:R530"/>
    <mergeCell ref="S527:S530"/>
    <mergeCell ref="T527:T530"/>
    <mergeCell ref="U527:U530"/>
    <mergeCell ref="V527:V530"/>
    <mergeCell ref="W527:W530"/>
    <mergeCell ref="X527:X530"/>
    <mergeCell ref="Y527:Y530"/>
    <mergeCell ref="Z527:Z530"/>
    <mergeCell ref="AA527:AA530"/>
    <mergeCell ref="AB527:AB530"/>
    <mergeCell ref="AC527:AC530"/>
    <mergeCell ref="AD527:AD530"/>
    <mergeCell ref="BP527:BP530"/>
    <mergeCell ref="BQ527:BQ530"/>
    <mergeCell ref="BR527:BR530"/>
    <mergeCell ref="BT527:BT530"/>
    <mergeCell ref="BU527:BU530"/>
    <mergeCell ref="BV527:BV530"/>
    <mergeCell ref="BW527:BW530"/>
    <mergeCell ref="BX527:BX530"/>
    <mergeCell ref="P531:Q531"/>
    <mergeCell ref="D532:D537"/>
    <mergeCell ref="E532:E537"/>
    <mergeCell ref="F532:F537"/>
    <mergeCell ref="G532:G537"/>
    <mergeCell ref="H532:H537"/>
    <mergeCell ref="I532:I537"/>
    <mergeCell ref="J532:J537"/>
    <mergeCell ref="K532:K537"/>
    <mergeCell ref="L532:L537"/>
    <mergeCell ref="M532:M537"/>
    <mergeCell ref="N533:N536"/>
    <mergeCell ref="O533:O536"/>
    <mergeCell ref="P533:P536"/>
    <mergeCell ref="Q533:Q536"/>
    <mergeCell ref="R533:R536"/>
    <mergeCell ref="S533:S536"/>
    <mergeCell ref="T533:T536"/>
    <mergeCell ref="U533:U536"/>
    <mergeCell ref="V533:V536"/>
    <mergeCell ref="W533:W536"/>
    <mergeCell ref="X533:X536"/>
    <mergeCell ref="Y533:Y536"/>
    <mergeCell ref="Z533:Z536"/>
    <mergeCell ref="AA533:AA536"/>
    <mergeCell ref="AB533:AB536"/>
    <mergeCell ref="AC533:AC536"/>
    <mergeCell ref="AD533:AD536"/>
    <mergeCell ref="BP533:BP536"/>
    <mergeCell ref="BQ533:BQ536"/>
    <mergeCell ref="BR533:BR536"/>
    <mergeCell ref="BT533:BT536"/>
    <mergeCell ref="BU533:BU536"/>
    <mergeCell ref="BV533:BV536"/>
    <mergeCell ref="BW533:BW536"/>
    <mergeCell ref="BX533:BX536"/>
    <mergeCell ref="P537:Q537"/>
    <mergeCell ref="D538:D543"/>
    <mergeCell ref="E538:E543"/>
    <mergeCell ref="F538:F543"/>
    <mergeCell ref="G538:G543"/>
    <mergeCell ref="H538:H543"/>
    <mergeCell ref="I538:I543"/>
    <mergeCell ref="J538:J543"/>
    <mergeCell ref="K538:K543"/>
    <mergeCell ref="L538:L543"/>
    <mergeCell ref="M538:M543"/>
    <mergeCell ref="N539:N542"/>
    <mergeCell ref="O539:O542"/>
    <mergeCell ref="P539:P542"/>
    <mergeCell ref="Q539:Q542"/>
    <mergeCell ref="R539:R542"/>
    <mergeCell ref="S539:S542"/>
    <mergeCell ref="T539:T542"/>
    <mergeCell ref="U539:U542"/>
    <mergeCell ref="V539:V542"/>
    <mergeCell ref="W539:W542"/>
    <mergeCell ref="X539:X542"/>
    <mergeCell ref="Y539:Y542"/>
    <mergeCell ref="Z539:Z542"/>
    <mergeCell ref="AA539:AA542"/>
    <mergeCell ref="AB539:AB542"/>
    <mergeCell ref="AC539:AC542"/>
    <mergeCell ref="AD539:AD542"/>
    <mergeCell ref="BP539:BP542"/>
    <mergeCell ref="BQ539:BQ542"/>
    <mergeCell ref="BR539:BR542"/>
    <mergeCell ref="BT539:BT542"/>
    <mergeCell ref="BU539:BU542"/>
    <mergeCell ref="BV539:BV542"/>
    <mergeCell ref="BW539:BW542"/>
    <mergeCell ref="BX539:BX542"/>
    <mergeCell ref="P543:Q543"/>
    <mergeCell ref="D544:D549"/>
    <mergeCell ref="E544:E549"/>
    <mergeCell ref="F544:F549"/>
    <mergeCell ref="G544:G549"/>
    <mergeCell ref="H544:H549"/>
    <mergeCell ref="I544:I549"/>
    <mergeCell ref="J544:J549"/>
    <mergeCell ref="K544:K549"/>
    <mergeCell ref="L544:L549"/>
    <mergeCell ref="M544:M549"/>
    <mergeCell ref="N545:N548"/>
    <mergeCell ref="O545:O548"/>
    <mergeCell ref="P545:P548"/>
    <mergeCell ref="Q545:Q548"/>
    <mergeCell ref="R545:R548"/>
    <mergeCell ref="S545:S548"/>
    <mergeCell ref="T545:T548"/>
    <mergeCell ref="U545:U548"/>
    <mergeCell ref="V545:V548"/>
    <mergeCell ref="W545:W548"/>
    <mergeCell ref="X545:X548"/>
    <mergeCell ref="Y545:Y548"/>
    <mergeCell ref="Z545:Z548"/>
    <mergeCell ref="AA545:AA548"/>
    <mergeCell ref="AB545:AB548"/>
    <mergeCell ref="AC545:AC548"/>
    <mergeCell ref="AD545:AD548"/>
    <mergeCell ref="BP545:BP548"/>
    <mergeCell ref="BQ545:BQ548"/>
    <mergeCell ref="BR545:BR548"/>
    <mergeCell ref="BT545:BT548"/>
    <mergeCell ref="BU545:BU548"/>
    <mergeCell ref="BV545:BV548"/>
    <mergeCell ref="BW545:BW548"/>
    <mergeCell ref="BX545:BX548"/>
    <mergeCell ref="P549:Q549"/>
    <mergeCell ref="D550:D555"/>
    <mergeCell ref="E550:E555"/>
    <mergeCell ref="F550:F555"/>
    <mergeCell ref="G550:G555"/>
    <mergeCell ref="H550:H555"/>
    <mergeCell ref="I550:I555"/>
    <mergeCell ref="J550:J555"/>
    <mergeCell ref="K550:K555"/>
    <mergeCell ref="L550:L555"/>
    <mergeCell ref="M550:M555"/>
    <mergeCell ref="N551:N554"/>
    <mergeCell ref="O551:O554"/>
    <mergeCell ref="P551:P554"/>
    <mergeCell ref="Q551:Q554"/>
    <mergeCell ref="R551:R554"/>
    <mergeCell ref="S551:S554"/>
    <mergeCell ref="T551:T554"/>
    <mergeCell ref="U551:U554"/>
    <mergeCell ref="V551:V554"/>
    <mergeCell ref="W551:W554"/>
    <mergeCell ref="X551:X554"/>
    <mergeCell ref="Y551:Y554"/>
    <mergeCell ref="Z551:Z554"/>
    <mergeCell ref="AA551:AA554"/>
    <mergeCell ref="AB551:AB554"/>
    <mergeCell ref="AC551:AC554"/>
    <mergeCell ref="AD551:AD554"/>
    <mergeCell ref="BP551:BP554"/>
    <mergeCell ref="BQ551:BQ554"/>
    <mergeCell ref="BR551:BR554"/>
    <mergeCell ref="BT551:BT554"/>
    <mergeCell ref="BU551:BU554"/>
    <mergeCell ref="BV551:BV554"/>
    <mergeCell ref="BW551:BW554"/>
    <mergeCell ref="BX551:BX554"/>
    <mergeCell ref="P555:Q555"/>
    <mergeCell ref="D556:D561"/>
    <mergeCell ref="E556:E561"/>
    <mergeCell ref="F556:F561"/>
    <mergeCell ref="G556:G561"/>
    <mergeCell ref="H556:H561"/>
    <mergeCell ref="I556:I561"/>
    <mergeCell ref="J556:J561"/>
    <mergeCell ref="K556:K561"/>
    <mergeCell ref="L556:L561"/>
    <mergeCell ref="M556:M561"/>
    <mergeCell ref="N557:N560"/>
    <mergeCell ref="O557:O560"/>
    <mergeCell ref="P557:P560"/>
    <mergeCell ref="Q557:Q560"/>
    <mergeCell ref="R557:R560"/>
    <mergeCell ref="S557:S560"/>
    <mergeCell ref="T557:T560"/>
    <mergeCell ref="U557:U560"/>
    <mergeCell ref="V557:V560"/>
    <mergeCell ref="W557:W560"/>
    <mergeCell ref="X557:X560"/>
    <mergeCell ref="Y557:Y560"/>
    <mergeCell ref="Z557:Z560"/>
    <mergeCell ref="AA557:AA560"/>
    <mergeCell ref="AB557:AB560"/>
    <mergeCell ref="AC557:AC560"/>
    <mergeCell ref="AD557:AD560"/>
    <mergeCell ref="BP557:BP560"/>
    <mergeCell ref="BQ557:BQ560"/>
    <mergeCell ref="BR557:BR560"/>
    <mergeCell ref="BT557:BT560"/>
    <mergeCell ref="BU557:BU560"/>
    <mergeCell ref="BV557:BV560"/>
    <mergeCell ref="BW557:BW560"/>
    <mergeCell ref="BX557:BX560"/>
    <mergeCell ref="P561:Q561"/>
    <mergeCell ref="D562:D567"/>
    <mergeCell ref="E562:E567"/>
    <mergeCell ref="F562:F567"/>
    <mergeCell ref="G562:G567"/>
    <mergeCell ref="H562:H567"/>
    <mergeCell ref="I562:I567"/>
    <mergeCell ref="J562:J567"/>
    <mergeCell ref="K562:K567"/>
    <mergeCell ref="L562:L567"/>
    <mergeCell ref="M562:M567"/>
    <mergeCell ref="N563:N566"/>
    <mergeCell ref="O563:O566"/>
    <mergeCell ref="P563:P566"/>
    <mergeCell ref="Q563:Q566"/>
    <mergeCell ref="R563:R566"/>
    <mergeCell ref="S563:S566"/>
    <mergeCell ref="T563:T566"/>
    <mergeCell ref="U563:U566"/>
    <mergeCell ref="V563:V566"/>
    <mergeCell ref="W563:W566"/>
    <mergeCell ref="X563:X566"/>
    <mergeCell ref="Y563:Y566"/>
    <mergeCell ref="Z563:Z566"/>
    <mergeCell ref="AA563:AA566"/>
    <mergeCell ref="AB563:AB566"/>
    <mergeCell ref="AC563:AC566"/>
    <mergeCell ref="AD563:AD566"/>
    <mergeCell ref="BP563:BP566"/>
    <mergeCell ref="BQ563:BQ566"/>
    <mergeCell ref="BR563:BR566"/>
    <mergeCell ref="BT563:BT566"/>
    <mergeCell ref="BU563:BU566"/>
    <mergeCell ref="BV563:BV566"/>
    <mergeCell ref="BW563:BW566"/>
    <mergeCell ref="BX563:BX566"/>
    <mergeCell ref="P567:Q567"/>
    <mergeCell ref="D568:D573"/>
    <mergeCell ref="E568:E573"/>
    <mergeCell ref="F568:F573"/>
    <mergeCell ref="G568:G573"/>
    <mergeCell ref="H568:H573"/>
    <mergeCell ref="I568:I573"/>
    <mergeCell ref="J568:J573"/>
    <mergeCell ref="K568:K573"/>
    <mergeCell ref="L568:L573"/>
    <mergeCell ref="M568:M573"/>
    <mergeCell ref="N569:N572"/>
    <mergeCell ref="O569:O572"/>
    <mergeCell ref="P569:P572"/>
    <mergeCell ref="Q569:Q572"/>
    <mergeCell ref="R569:R572"/>
    <mergeCell ref="S569:S572"/>
    <mergeCell ref="T569:T572"/>
    <mergeCell ref="U569:U572"/>
    <mergeCell ref="V569:V572"/>
    <mergeCell ref="W569:W572"/>
    <mergeCell ref="X569:X572"/>
    <mergeCell ref="Y569:Y572"/>
    <mergeCell ref="Z569:Z572"/>
    <mergeCell ref="AA569:AA572"/>
    <mergeCell ref="AB569:AB572"/>
    <mergeCell ref="AC569:AC572"/>
    <mergeCell ref="AD569:AD572"/>
    <mergeCell ref="BP569:BP572"/>
    <mergeCell ref="BQ569:BQ572"/>
    <mergeCell ref="BR569:BR572"/>
    <mergeCell ref="BT569:BT572"/>
    <mergeCell ref="BU569:BU572"/>
    <mergeCell ref="BV569:BV572"/>
    <mergeCell ref="BW569:BW572"/>
    <mergeCell ref="BX569:BX572"/>
    <mergeCell ref="P573:Q573"/>
    <mergeCell ref="D574:D579"/>
    <mergeCell ref="E574:E579"/>
    <mergeCell ref="F574:F579"/>
    <mergeCell ref="G574:G579"/>
    <mergeCell ref="H574:H579"/>
    <mergeCell ref="I574:I579"/>
    <mergeCell ref="J574:J579"/>
    <mergeCell ref="K574:K579"/>
    <mergeCell ref="L574:L579"/>
    <mergeCell ref="M574:M579"/>
    <mergeCell ref="N575:N578"/>
    <mergeCell ref="O575:O578"/>
    <mergeCell ref="P575:P578"/>
    <mergeCell ref="Q575:Q578"/>
    <mergeCell ref="R575:R578"/>
    <mergeCell ref="S575:S578"/>
    <mergeCell ref="T575:T578"/>
    <mergeCell ref="U575:U578"/>
    <mergeCell ref="V575:V578"/>
    <mergeCell ref="W575:W578"/>
    <mergeCell ref="X575:X578"/>
    <mergeCell ref="Y575:Y578"/>
    <mergeCell ref="Z575:Z578"/>
    <mergeCell ref="AA575:AA578"/>
    <mergeCell ref="AB575:AB578"/>
    <mergeCell ref="AC575:AC578"/>
    <mergeCell ref="AD575:AD578"/>
    <mergeCell ref="BP575:BP578"/>
    <mergeCell ref="BQ575:BQ578"/>
    <mergeCell ref="BR575:BR578"/>
    <mergeCell ref="BT575:BT578"/>
    <mergeCell ref="BU575:BU578"/>
    <mergeCell ref="BV575:BV578"/>
    <mergeCell ref="BW575:BW578"/>
    <mergeCell ref="BX575:BX578"/>
    <mergeCell ref="P579:Q579"/>
    <mergeCell ref="D580:D585"/>
    <mergeCell ref="E580:E585"/>
    <mergeCell ref="F580:F585"/>
    <mergeCell ref="G580:G585"/>
    <mergeCell ref="H580:H585"/>
    <mergeCell ref="I580:I585"/>
    <mergeCell ref="J580:J585"/>
    <mergeCell ref="K580:K585"/>
    <mergeCell ref="L580:L585"/>
    <mergeCell ref="M580:M585"/>
    <mergeCell ref="N581:N584"/>
    <mergeCell ref="O581:O584"/>
    <mergeCell ref="P581:P584"/>
    <mergeCell ref="Q581:Q584"/>
    <mergeCell ref="R581:R584"/>
    <mergeCell ref="S581:S584"/>
    <mergeCell ref="T581:T584"/>
    <mergeCell ref="U581:U584"/>
    <mergeCell ref="V581:V584"/>
    <mergeCell ref="W581:W584"/>
    <mergeCell ref="X581:X584"/>
    <mergeCell ref="Y581:Y584"/>
    <mergeCell ref="Z581:Z584"/>
    <mergeCell ref="AA581:AA584"/>
    <mergeCell ref="AB581:AB584"/>
    <mergeCell ref="AC581:AC584"/>
    <mergeCell ref="AD581:AD584"/>
    <mergeCell ref="BP581:BP584"/>
    <mergeCell ref="BQ581:BQ584"/>
    <mergeCell ref="BR581:BR584"/>
    <mergeCell ref="BT581:BT584"/>
    <mergeCell ref="BU581:BU584"/>
    <mergeCell ref="BV581:BV584"/>
    <mergeCell ref="BW581:BW584"/>
    <mergeCell ref="BX581:BX584"/>
    <mergeCell ref="P585:Q585"/>
    <mergeCell ref="D586:D591"/>
    <mergeCell ref="E586:E591"/>
    <mergeCell ref="F586:F591"/>
    <mergeCell ref="G586:G591"/>
    <mergeCell ref="H586:H591"/>
    <mergeCell ref="I586:I591"/>
    <mergeCell ref="J586:J591"/>
    <mergeCell ref="K586:K591"/>
    <mergeCell ref="L586:L591"/>
    <mergeCell ref="M586:M591"/>
    <mergeCell ref="N587:N590"/>
    <mergeCell ref="O587:O590"/>
    <mergeCell ref="P587:P590"/>
    <mergeCell ref="Q587:Q590"/>
    <mergeCell ref="R587:R590"/>
    <mergeCell ref="S587:S590"/>
    <mergeCell ref="T587:T590"/>
    <mergeCell ref="U587:U590"/>
    <mergeCell ref="V587:V590"/>
    <mergeCell ref="W587:W590"/>
    <mergeCell ref="X587:X590"/>
    <mergeCell ref="Y587:Y590"/>
    <mergeCell ref="Z587:Z590"/>
    <mergeCell ref="AA587:AA590"/>
    <mergeCell ref="AB587:AB590"/>
    <mergeCell ref="AC587:AC590"/>
    <mergeCell ref="AD587:AD590"/>
    <mergeCell ref="BP587:BP590"/>
    <mergeCell ref="BQ587:BQ590"/>
    <mergeCell ref="BR587:BR590"/>
    <mergeCell ref="BT587:BT590"/>
    <mergeCell ref="BU587:BU590"/>
    <mergeCell ref="BV587:BV590"/>
    <mergeCell ref="BW587:BW590"/>
    <mergeCell ref="BX587:BX590"/>
    <mergeCell ref="P591:Q591"/>
    <mergeCell ref="D592:D597"/>
    <mergeCell ref="E592:E597"/>
    <mergeCell ref="F592:F597"/>
    <mergeCell ref="G592:G597"/>
    <mergeCell ref="H592:H597"/>
    <mergeCell ref="I592:I597"/>
    <mergeCell ref="J592:J597"/>
    <mergeCell ref="K592:K597"/>
    <mergeCell ref="L592:L597"/>
    <mergeCell ref="M592:M597"/>
    <mergeCell ref="N593:N596"/>
    <mergeCell ref="O593:O596"/>
    <mergeCell ref="P593:P596"/>
    <mergeCell ref="Q593:Q596"/>
    <mergeCell ref="R593:R596"/>
    <mergeCell ref="S593:S596"/>
    <mergeCell ref="T593:T596"/>
    <mergeCell ref="U593:U596"/>
    <mergeCell ref="V593:V596"/>
    <mergeCell ref="W593:W596"/>
    <mergeCell ref="X593:X596"/>
    <mergeCell ref="Y593:Y596"/>
    <mergeCell ref="Z593:Z596"/>
    <mergeCell ref="AA593:AA596"/>
    <mergeCell ref="AB593:AB596"/>
    <mergeCell ref="AC593:AC596"/>
    <mergeCell ref="AD593:AD596"/>
    <mergeCell ref="BP593:BP596"/>
    <mergeCell ref="BQ593:BQ596"/>
    <mergeCell ref="BR593:BR596"/>
    <mergeCell ref="BT593:BT596"/>
    <mergeCell ref="BU593:BU596"/>
    <mergeCell ref="BV593:BV596"/>
    <mergeCell ref="BW593:BW596"/>
    <mergeCell ref="BX593:BX596"/>
    <mergeCell ref="P597:Q597"/>
    <mergeCell ref="D598:D603"/>
    <mergeCell ref="E598:E603"/>
    <mergeCell ref="F598:F603"/>
    <mergeCell ref="G598:G603"/>
    <mergeCell ref="H598:H603"/>
    <mergeCell ref="I598:I603"/>
    <mergeCell ref="J598:J603"/>
    <mergeCell ref="K598:K603"/>
    <mergeCell ref="L598:L603"/>
    <mergeCell ref="M598:M603"/>
    <mergeCell ref="N599:N602"/>
    <mergeCell ref="O599:O602"/>
    <mergeCell ref="P599:P602"/>
    <mergeCell ref="Q599:Q602"/>
    <mergeCell ref="R599:R602"/>
    <mergeCell ref="S599:S602"/>
    <mergeCell ref="T599:T602"/>
    <mergeCell ref="U599:U602"/>
    <mergeCell ref="V599:V602"/>
    <mergeCell ref="W599:W602"/>
    <mergeCell ref="X599:X602"/>
    <mergeCell ref="Y599:Y602"/>
    <mergeCell ref="Z599:Z602"/>
    <mergeCell ref="AA599:AA602"/>
    <mergeCell ref="AB599:AB602"/>
    <mergeCell ref="AC599:AC602"/>
    <mergeCell ref="AD599:AD602"/>
    <mergeCell ref="BP599:BP602"/>
    <mergeCell ref="BQ599:BQ602"/>
    <mergeCell ref="BR599:BR602"/>
    <mergeCell ref="BT599:BT602"/>
    <mergeCell ref="BU599:BU602"/>
    <mergeCell ref="BV599:BV602"/>
    <mergeCell ref="BW599:BW602"/>
    <mergeCell ref="BX599:BX602"/>
    <mergeCell ref="P603:Q603"/>
    <mergeCell ref="D604:D609"/>
    <mergeCell ref="E604:E609"/>
    <mergeCell ref="F604:F609"/>
    <mergeCell ref="G604:G609"/>
    <mergeCell ref="H604:H609"/>
    <mergeCell ref="I604:I609"/>
    <mergeCell ref="J604:J609"/>
    <mergeCell ref="K604:K609"/>
    <mergeCell ref="L604:L609"/>
    <mergeCell ref="M604:M609"/>
    <mergeCell ref="N605:N608"/>
    <mergeCell ref="O605:O608"/>
    <mergeCell ref="P605:P608"/>
    <mergeCell ref="Q605:Q608"/>
    <mergeCell ref="R605:R608"/>
    <mergeCell ref="S605:S608"/>
    <mergeCell ref="T605:T608"/>
    <mergeCell ref="U605:U608"/>
    <mergeCell ref="V605:V608"/>
    <mergeCell ref="W605:W608"/>
    <mergeCell ref="X605:X608"/>
    <mergeCell ref="Y605:Y608"/>
    <mergeCell ref="Z605:Z608"/>
    <mergeCell ref="AA605:AA608"/>
    <mergeCell ref="AB605:AB608"/>
    <mergeCell ref="AC605:AC608"/>
    <mergeCell ref="AD605:AD608"/>
    <mergeCell ref="BP605:BP608"/>
    <mergeCell ref="BQ605:BQ608"/>
    <mergeCell ref="BR605:BR608"/>
    <mergeCell ref="BT605:BT608"/>
    <mergeCell ref="BU605:BU608"/>
    <mergeCell ref="BV605:BV608"/>
    <mergeCell ref="BW605:BW608"/>
    <mergeCell ref="BX605:BX608"/>
    <mergeCell ref="P609:Q609"/>
    <mergeCell ref="D610:D615"/>
    <mergeCell ref="E610:E615"/>
    <mergeCell ref="F610:F615"/>
    <mergeCell ref="G610:G615"/>
    <mergeCell ref="H610:H615"/>
    <mergeCell ref="I610:I615"/>
    <mergeCell ref="J610:J615"/>
    <mergeCell ref="K610:K615"/>
    <mergeCell ref="L610:L615"/>
    <mergeCell ref="M610:M615"/>
    <mergeCell ref="N611:N614"/>
    <mergeCell ref="O611:O614"/>
    <mergeCell ref="P611:P614"/>
    <mergeCell ref="Q611:Q614"/>
    <mergeCell ref="R611:R614"/>
    <mergeCell ref="S611:S614"/>
    <mergeCell ref="T611:T614"/>
    <mergeCell ref="U611:U614"/>
    <mergeCell ref="V611:V614"/>
    <mergeCell ref="W611:W614"/>
    <mergeCell ref="X611:X614"/>
    <mergeCell ref="Y611:Y614"/>
    <mergeCell ref="Z611:Z614"/>
    <mergeCell ref="AA611:AA614"/>
    <mergeCell ref="AB611:AB614"/>
    <mergeCell ref="AC611:AC614"/>
    <mergeCell ref="AD611:AD614"/>
    <mergeCell ref="BP611:BP614"/>
    <mergeCell ref="BQ611:BQ614"/>
    <mergeCell ref="BR611:BR614"/>
    <mergeCell ref="BT611:BT614"/>
    <mergeCell ref="BU611:BU614"/>
    <mergeCell ref="BV611:BV614"/>
    <mergeCell ref="BW611:BW614"/>
    <mergeCell ref="BX611:BX614"/>
    <mergeCell ref="P615:Q615"/>
    <mergeCell ref="D616:D621"/>
    <mergeCell ref="E616:E621"/>
    <mergeCell ref="F616:F621"/>
    <mergeCell ref="G616:G621"/>
    <mergeCell ref="H616:H621"/>
    <mergeCell ref="I616:I621"/>
    <mergeCell ref="J616:J621"/>
    <mergeCell ref="K616:K621"/>
    <mergeCell ref="L616:L621"/>
    <mergeCell ref="M616:M621"/>
    <mergeCell ref="N617:N620"/>
    <mergeCell ref="O617:O620"/>
    <mergeCell ref="P617:P620"/>
    <mergeCell ref="Q617:Q620"/>
    <mergeCell ref="R617:R620"/>
    <mergeCell ref="S617:S620"/>
    <mergeCell ref="T617:T620"/>
    <mergeCell ref="U617:U620"/>
    <mergeCell ref="V617:V620"/>
    <mergeCell ref="W617:W620"/>
    <mergeCell ref="X617:X620"/>
    <mergeCell ref="Y617:Y620"/>
    <mergeCell ref="Z617:Z620"/>
    <mergeCell ref="AA617:AA620"/>
    <mergeCell ref="AB617:AB620"/>
    <mergeCell ref="AC617:AC620"/>
    <mergeCell ref="AD617:AD620"/>
    <mergeCell ref="BP617:BP620"/>
    <mergeCell ref="BQ617:BQ620"/>
    <mergeCell ref="BR617:BR620"/>
    <mergeCell ref="BT617:BT620"/>
    <mergeCell ref="BU617:BU620"/>
    <mergeCell ref="BV617:BV620"/>
    <mergeCell ref="BW617:BW620"/>
    <mergeCell ref="BX617:BX620"/>
    <mergeCell ref="P621:Q621"/>
    <mergeCell ref="D622:D627"/>
    <mergeCell ref="E622:E627"/>
    <mergeCell ref="F622:F627"/>
    <mergeCell ref="G622:G627"/>
    <mergeCell ref="H622:H627"/>
    <mergeCell ref="I622:I627"/>
    <mergeCell ref="J622:J627"/>
    <mergeCell ref="K622:K627"/>
    <mergeCell ref="L622:L627"/>
    <mergeCell ref="M622:M627"/>
    <mergeCell ref="N623:N626"/>
    <mergeCell ref="O623:O626"/>
    <mergeCell ref="P623:P626"/>
    <mergeCell ref="Q623:Q626"/>
    <mergeCell ref="R623:R626"/>
    <mergeCell ref="S623:S626"/>
    <mergeCell ref="T623:T626"/>
    <mergeCell ref="U623:U626"/>
    <mergeCell ref="V623:V626"/>
    <mergeCell ref="W623:W626"/>
    <mergeCell ref="X623:X626"/>
    <mergeCell ref="Y623:Y626"/>
    <mergeCell ref="Z623:Z626"/>
    <mergeCell ref="AA623:AA626"/>
    <mergeCell ref="AB623:AB626"/>
    <mergeCell ref="AC623:AC626"/>
    <mergeCell ref="AD623:AD626"/>
    <mergeCell ref="BP623:BP626"/>
    <mergeCell ref="BQ623:BQ626"/>
    <mergeCell ref="BR623:BR626"/>
    <mergeCell ref="BT623:BT626"/>
    <mergeCell ref="BU623:BU626"/>
    <mergeCell ref="BV623:BV626"/>
    <mergeCell ref="BW623:BW626"/>
    <mergeCell ref="BX623:BX626"/>
    <mergeCell ref="P627:Q627"/>
    <mergeCell ref="D628:D633"/>
    <mergeCell ref="E628:E633"/>
    <mergeCell ref="F628:F633"/>
    <mergeCell ref="G628:G633"/>
    <mergeCell ref="H628:H633"/>
    <mergeCell ref="I628:I633"/>
    <mergeCell ref="J628:J633"/>
    <mergeCell ref="K628:K633"/>
    <mergeCell ref="L628:L633"/>
    <mergeCell ref="M628:M633"/>
    <mergeCell ref="N629:N632"/>
    <mergeCell ref="O629:O632"/>
    <mergeCell ref="P629:P632"/>
    <mergeCell ref="Q629:Q632"/>
    <mergeCell ref="R629:R632"/>
    <mergeCell ref="S629:S632"/>
    <mergeCell ref="T629:T632"/>
    <mergeCell ref="U629:U632"/>
    <mergeCell ref="V629:V632"/>
    <mergeCell ref="W629:W632"/>
    <mergeCell ref="X629:X632"/>
    <mergeCell ref="Y629:Y632"/>
    <mergeCell ref="Z629:Z632"/>
    <mergeCell ref="AA629:AA632"/>
    <mergeCell ref="AB629:AB632"/>
    <mergeCell ref="AC629:AC632"/>
    <mergeCell ref="AD629:AD632"/>
    <mergeCell ref="BP629:BP632"/>
    <mergeCell ref="BQ629:BQ632"/>
    <mergeCell ref="BR629:BR632"/>
    <mergeCell ref="BT629:BT632"/>
    <mergeCell ref="BU629:BU632"/>
    <mergeCell ref="BV629:BV632"/>
    <mergeCell ref="BW629:BW632"/>
    <mergeCell ref="BX629:BX632"/>
    <mergeCell ref="P633:Q633"/>
    <mergeCell ref="D634:D639"/>
    <mergeCell ref="E634:E639"/>
    <mergeCell ref="F634:F639"/>
    <mergeCell ref="G634:G639"/>
    <mergeCell ref="H634:H639"/>
    <mergeCell ref="I634:I639"/>
    <mergeCell ref="J634:J639"/>
    <mergeCell ref="K634:K639"/>
    <mergeCell ref="L634:L639"/>
    <mergeCell ref="M634:M639"/>
    <mergeCell ref="N635:N638"/>
    <mergeCell ref="O635:O638"/>
    <mergeCell ref="P635:P638"/>
    <mergeCell ref="Q635:Q638"/>
    <mergeCell ref="R635:R638"/>
    <mergeCell ref="S635:S638"/>
    <mergeCell ref="T635:T638"/>
    <mergeCell ref="U635:U638"/>
    <mergeCell ref="V635:V638"/>
    <mergeCell ref="W635:W638"/>
    <mergeCell ref="X635:X638"/>
    <mergeCell ref="Y635:Y638"/>
    <mergeCell ref="Z635:Z638"/>
    <mergeCell ref="AA635:AA638"/>
    <mergeCell ref="AB635:AB638"/>
    <mergeCell ref="AC635:AC638"/>
    <mergeCell ref="AD635:AD638"/>
    <mergeCell ref="BP635:BP638"/>
    <mergeCell ref="BQ635:BQ638"/>
    <mergeCell ref="BR635:BR638"/>
    <mergeCell ref="BT635:BT638"/>
    <mergeCell ref="BU635:BU638"/>
    <mergeCell ref="BV635:BV638"/>
    <mergeCell ref="BW635:BW638"/>
    <mergeCell ref="BX635:BX638"/>
    <mergeCell ref="P639:Q639"/>
    <mergeCell ref="D640:D645"/>
    <mergeCell ref="E640:E645"/>
    <mergeCell ref="F640:F645"/>
    <mergeCell ref="G640:G645"/>
    <mergeCell ref="H640:H645"/>
    <mergeCell ref="I640:I645"/>
    <mergeCell ref="J640:J645"/>
    <mergeCell ref="K640:K645"/>
    <mergeCell ref="L640:L645"/>
    <mergeCell ref="M640:M645"/>
    <mergeCell ref="N641:N644"/>
    <mergeCell ref="O641:O644"/>
    <mergeCell ref="P641:P644"/>
    <mergeCell ref="Q641:Q644"/>
    <mergeCell ref="R641:R644"/>
    <mergeCell ref="S641:S644"/>
    <mergeCell ref="T641:T644"/>
    <mergeCell ref="U641:U644"/>
    <mergeCell ref="V641:V644"/>
    <mergeCell ref="W641:W644"/>
    <mergeCell ref="X641:X644"/>
    <mergeCell ref="Y641:Y644"/>
    <mergeCell ref="Z641:Z644"/>
    <mergeCell ref="AA641:AA644"/>
    <mergeCell ref="AB641:AB644"/>
    <mergeCell ref="AC641:AC644"/>
    <mergeCell ref="AD641:AD644"/>
    <mergeCell ref="BP641:BP644"/>
    <mergeCell ref="BQ641:BQ644"/>
    <mergeCell ref="BR641:BR644"/>
    <mergeCell ref="BT641:BT644"/>
    <mergeCell ref="BU641:BU644"/>
    <mergeCell ref="BV641:BV644"/>
    <mergeCell ref="BW641:BW644"/>
    <mergeCell ref="BX641:BX644"/>
    <mergeCell ref="P645:Q645"/>
    <mergeCell ref="D646:D651"/>
    <mergeCell ref="E646:E651"/>
    <mergeCell ref="F646:F651"/>
    <mergeCell ref="G646:G651"/>
    <mergeCell ref="H646:H651"/>
    <mergeCell ref="I646:I651"/>
    <mergeCell ref="J646:J651"/>
    <mergeCell ref="K646:K651"/>
    <mergeCell ref="L646:L651"/>
    <mergeCell ref="M646:M651"/>
    <mergeCell ref="N647:N650"/>
    <mergeCell ref="O647:O650"/>
    <mergeCell ref="P647:P650"/>
    <mergeCell ref="Q647:Q650"/>
    <mergeCell ref="R647:R650"/>
    <mergeCell ref="S647:S650"/>
    <mergeCell ref="T647:T650"/>
    <mergeCell ref="U647:U650"/>
    <mergeCell ref="V647:V650"/>
    <mergeCell ref="W647:W650"/>
    <mergeCell ref="X647:X650"/>
    <mergeCell ref="Y647:Y650"/>
    <mergeCell ref="Z647:Z650"/>
    <mergeCell ref="AA647:AA650"/>
    <mergeCell ref="AB647:AB650"/>
    <mergeCell ref="AC647:AC650"/>
    <mergeCell ref="AD647:AD650"/>
    <mergeCell ref="BP647:BP650"/>
    <mergeCell ref="BQ647:BQ650"/>
    <mergeCell ref="BR647:BR650"/>
    <mergeCell ref="BT647:BT650"/>
    <mergeCell ref="BU647:BU650"/>
    <mergeCell ref="BV647:BV650"/>
    <mergeCell ref="BW647:BW650"/>
    <mergeCell ref="BX647:BX650"/>
    <mergeCell ref="P651:Q651"/>
    <mergeCell ref="D652:D657"/>
    <mergeCell ref="E652:E657"/>
    <mergeCell ref="F652:F657"/>
    <mergeCell ref="G652:G657"/>
    <mergeCell ref="H652:H657"/>
    <mergeCell ref="I652:I657"/>
    <mergeCell ref="J652:J657"/>
    <mergeCell ref="K652:K657"/>
    <mergeCell ref="L652:L657"/>
    <mergeCell ref="M652:M657"/>
    <mergeCell ref="N653:N656"/>
    <mergeCell ref="O653:O656"/>
    <mergeCell ref="P653:P656"/>
    <mergeCell ref="Q653:Q656"/>
    <mergeCell ref="R653:R656"/>
    <mergeCell ref="S653:S656"/>
    <mergeCell ref="T653:T656"/>
    <mergeCell ref="U653:U656"/>
    <mergeCell ref="V653:V656"/>
    <mergeCell ref="W653:W656"/>
    <mergeCell ref="X653:X656"/>
    <mergeCell ref="Y653:Y656"/>
    <mergeCell ref="Z653:Z656"/>
    <mergeCell ref="AA653:AA656"/>
    <mergeCell ref="AB653:AB656"/>
    <mergeCell ref="AC653:AC656"/>
    <mergeCell ref="AD653:AD656"/>
    <mergeCell ref="BP653:BP656"/>
    <mergeCell ref="BQ653:BQ656"/>
    <mergeCell ref="BR653:BR656"/>
    <mergeCell ref="BT653:BT656"/>
    <mergeCell ref="BU653:BU656"/>
    <mergeCell ref="BV653:BV656"/>
    <mergeCell ref="BW653:BW656"/>
    <mergeCell ref="BX653:BX656"/>
    <mergeCell ref="P657:Q657"/>
    <mergeCell ref="D658:D663"/>
    <mergeCell ref="E658:E663"/>
    <mergeCell ref="F658:F663"/>
    <mergeCell ref="G658:G663"/>
    <mergeCell ref="H658:H663"/>
    <mergeCell ref="I658:I663"/>
    <mergeCell ref="J658:J663"/>
    <mergeCell ref="K658:K663"/>
    <mergeCell ref="L658:L663"/>
    <mergeCell ref="M658:M663"/>
    <mergeCell ref="N659:N662"/>
    <mergeCell ref="O659:O662"/>
    <mergeCell ref="P659:P662"/>
    <mergeCell ref="Q659:Q662"/>
    <mergeCell ref="R659:R662"/>
    <mergeCell ref="S659:S662"/>
    <mergeCell ref="T659:T662"/>
    <mergeCell ref="U659:U662"/>
    <mergeCell ref="V659:V662"/>
    <mergeCell ref="W659:W662"/>
    <mergeCell ref="X659:X662"/>
    <mergeCell ref="Y659:Y662"/>
    <mergeCell ref="Z659:Z662"/>
    <mergeCell ref="AA659:AA662"/>
    <mergeCell ref="AB659:AB662"/>
    <mergeCell ref="AC659:AC662"/>
    <mergeCell ref="AD659:AD662"/>
    <mergeCell ref="BP659:BP662"/>
    <mergeCell ref="BQ659:BQ662"/>
    <mergeCell ref="BR659:BR662"/>
    <mergeCell ref="BT659:BT662"/>
    <mergeCell ref="BU659:BU662"/>
    <mergeCell ref="BV659:BV662"/>
    <mergeCell ref="BW659:BW662"/>
    <mergeCell ref="BX659:BX662"/>
    <mergeCell ref="P663:Q663"/>
    <mergeCell ref="D664:D669"/>
    <mergeCell ref="E664:E669"/>
    <mergeCell ref="F664:F669"/>
    <mergeCell ref="G664:G669"/>
    <mergeCell ref="H664:H669"/>
    <mergeCell ref="I664:I669"/>
    <mergeCell ref="J664:J669"/>
    <mergeCell ref="K664:K669"/>
    <mergeCell ref="L664:L669"/>
    <mergeCell ref="M664:M669"/>
    <mergeCell ref="N665:N668"/>
    <mergeCell ref="O665:O668"/>
    <mergeCell ref="P665:P668"/>
    <mergeCell ref="Q665:Q668"/>
    <mergeCell ref="R665:R668"/>
    <mergeCell ref="S665:S668"/>
    <mergeCell ref="T665:T668"/>
    <mergeCell ref="U665:U668"/>
    <mergeCell ref="V665:V668"/>
    <mergeCell ref="W665:W668"/>
    <mergeCell ref="X665:X668"/>
    <mergeCell ref="Y665:Y668"/>
    <mergeCell ref="Z665:Z668"/>
    <mergeCell ref="AA665:AA668"/>
    <mergeCell ref="AB665:AB668"/>
    <mergeCell ref="AC665:AC668"/>
    <mergeCell ref="AD665:AD668"/>
    <mergeCell ref="BP665:BP668"/>
    <mergeCell ref="BQ665:BQ668"/>
    <mergeCell ref="BR665:BR668"/>
    <mergeCell ref="BT665:BT668"/>
    <mergeCell ref="BU665:BU668"/>
    <mergeCell ref="BV665:BV668"/>
    <mergeCell ref="BW665:BW668"/>
    <mergeCell ref="BX665:BX668"/>
    <mergeCell ref="P669:Q669"/>
    <mergeCell ref="D670:D675"/>
    <mergeCell ref="E670:E675"/>
    <mergeCell ref="F670:F675"/>
    <mergeCell ref="G670:G675"/>
    <mergeCell ref="H670:H675"/>
    <mergeCell ref="I670:I675"/>
    <mergeCell ref="J670:J675"/>
    <mergeCell ref="K670:K675"/>
    <mergeCell ref="L670:L675"/>
    <mergeCell ref="M670:M675"/>
    <mergeCell ref="N671:N674"/>
    <mergeCell ref="O671:O674"/>
    <mergeCell ref="P671:P674"/>
    <mergeCell ref="Q671:Q674"/>
    <mergeCell ref="R671:R674"/>
    <mergeCell ref="S671:S674"/>
    <mergeCell ref="T671:T674"/>
    <mergeCell ref="U671:U674"/>
    <mergeCell ref="V671:V674"/>
    <mergeCell ref="W671:W674"/>
    <mergeCell ref="X671:X674"/>
    <mergeCell ref="Y671:Y674"/>
    <mergeCell ref="Z671:Z674"/>
    <mergeCell ref="AA671:AA674"/>
    <mergeCell ref="AB671:AB674"/>
    <mergeCell ref="AC671:AC674"/>
    <mergeCell ref="AD671:AD674"/>
    <mergeCell ref="BP671:BP674"/>
    <mergeCell ref="BQ671:BQ674"/>
    <mergeCell ref="BR671:BR674"/>
    <mergeCell ref="BT671:BT674"/>
    <mergeCell ref="BU671:BU674"/>
    <mergeCell ref="BV671:BV674"/>
    <mergeCell ref="BW671:BW674"/>
    <mergeCell ref="BX671:BX674"/>
    <mergeCell ref="P675:Q675"/>
    <mergeCell ref="D676:D681"/>
    <mergeCell ref="E676:E681"/>
    <mergeCell ref="F676:F681"/>
    <mergeCell ref="G676:G681"/>
    <mergeCell ref="H676:H681"/>
    <mergeCell ref="I676:I681"/>
    <mergeCell ref="J676:J681"/>
    <mergeCell ref="K676:K681"/>
    <mergeCell ref="L676:L681"/>
    <mergeCell ref="M676:M681"/>
    <mergeCell ref="N677:N680"/>
    <mergeCell ref="O677:O680"/>
    <mergeCell ref="P677:P680"/>
    <mergeCell ref="Q677:Q680"/>
    <mergeCell ref="R677:R680"/>
    <mergeCell ref="S677:S680"/>
    <mergeCell ref="T677:T680"/>
    <mergeCell ref="U677:U680"/>
    <mergeCell ref="V677:V680"/>
    <mergeCell ref="W677:W680"/>
    <mergeCell ref="X677:X680"/>
    <mergeCell ref="Y677:Y680"/>
    <mergeCell ref="Z677:Z680"/>
    <mergeCell ref="AA677:AA680"/>
    <mergeCell ref="AB677:AB680"/>
    <mergeCell ref="AC677:AC680"/>
    <mergeCell ref="AD677:AD680"/>
    <mergeCell ref="BP677:BP680"/>
    <mergeCell ref="BQ677:BQ680"/>
    <mergeCell ref="BR677:BR680"/>
    <mergeCell ref="BT677:BT680"/>
    <mergeCell ref="BU677:BU680"/>
    <mergeCell ref="BV677:BV680"/>
    <mergeCell ref="BW677:BW680"/>
    <mergeCell ref="BX677:BX680"/>
    <mergeCell ref="P681:Q681"/>
    <mergeCell ref="D682:D687"/>
    <mergeCell ref="E682:E687"/>
    <mergeCell ref="F682:F687"/>
    <mergeCell ref="G682:G687"/>
    <mergeCell ref="H682:H687"/>
    <mergeCell ref="I682:I687"/>
    <mergeCell ref="J682:J687"/>
    <mergeCell ref="K682:K687"/>
    <mergeCell ref="L682:L687"/>
    <mergeCell ref="M682:M687"/>
    <mergeCell ref="N683:N686"/>
    <mergeCell ref="O683:O686"/>
    <mergeCell ref="P683:P686"/>
    <mergeCell ref="Q683:Q686"/>
    <mergeCell ref="R683:R686"/>
    <mergeCell ref="S683:S686"/>
    <mergeCell ref="T683:T686"/>
    <mergeCell ref="U683:U686"/>
    <mergeCell ref="V683:V686"/>
    <mergeCell ref="W683:W686"/>
    <mergeCell ref="X683:X686"/>
    <mergeCell ref="Y683:Y686"/>
    <mergeCell ref="Z683:Z686"/>
    <mergeCell ref="AA683:AA686"/>
    <mergeCell ref="AB683:AB686"/>
    <mergeCell ref="AC683:AC686"/>
    <mergeCell ref="AD683:AD686"/>
    <mergeCell ref="BP683:BP686"/>
    <mergeCell ref="BQ683:BQ686"/>
    <mergeCell ref="BR683:BR686"/>
    <mergeCell ref="BT683:BT686"/>
    <mergeCell ref="BU683:BU686"/>
    <mergeCell ref="BV683:BV686"/>
    <mergeCell ref="BW683:BW686"/>
    <mergeCell ref="BX683:BX686"/>
    <mergeCell ref="P687:Q687"/>
    <mergeCell ref="D688:D693"/>
    <mergeCell ref="E688:E693"/>
    <mergeCell ref="F688:F693"/>
    <mergeCell ref="G688:G693"/>
    <mergeCell ref="H688:H693"/>
    <mergeCell ref="I688:I693"/>
    <mergeCell ref="J688:J693"/>
    <mergeCell ref="K688:K693"/>
    <mergeCell ref="L688:L693"/>
    <mergeCell ref="M688:M693"/>
    <mergeCell ref="N689:N692"/>
    <mergeCell ref="O689:O692"/>
    <mergeCell ref="P689:P692"/>
    <mergeCell ref="Q689:Q692"/>
    <mergeCell ref="R689:R692"/>
    <mergeCell ref="S689:S692"/>
    <mergeCell ref="T689:T692"/>
    <mergeCell ref="U689:U692"/>
    <mergeCell ref="V689:V692"/>
    <mergeCell ref="W689:W692"/>
    <mergeCell ref="X689:X692"/>
    <mergeCell ref="Y689:Y692"/>
    <mergeCell ref="Z689:Z692"/>
    <mergeCell ref="AA689:AA692"/>
    <mergeCell ref="AB689:AB692"/>
    <mergeCell ref="AC689:AC692"/>
    <mergeCell ref="AD689:AD692"/>
    <mergeCell ref="BP689:BP692"/>
    <mergeCell ref="BQ689:BQ692"/>
    <mergeCell ref="BR689:BR692"/>
    <mergeCell ref="BT689:BT692"/>
    <mergeCell ref="BU689:BU692"/>
    <mergeCell ref="BV689:BV692"/>
    <mergeCell ref="BW689:BW692"/>
    <mergeCell ref="BX689:BX692"/>
    <mergeCell ref="P693:Q693"/>
    <mergeCell ref="D694:D699"/>
    <mergeCell ref="E694:E699"/>
    <mergeCell ref="F694:F699"/>
    <mergeCell ref="G694:G699"/>
    <mergeCell ref="H694:H699"/>
    <mergeCell ref="I694:I699"/>
    <mergeCell ref="J694:J699"/>
    <mergeCell ref="K694:K699"/>
    <mergeCell ref="L694:L699"/>
    <mergeCell ref="M694:M699"/>
    <mergeCell ref="N695:N698"/>
    <mergeCell ref="O695:O698"/>
    <mergeCell ref="P695:P698"/>
    <mergeCell ref="Q695:Q698"/>
    <mergeCell ref="R695:R698"/>
    <mergeCell ref="S695:S698"/>
    <mergeCell ref="T695:T698"/>
    <mergeCell ref="U695:U698"/>
    <mergeCell ref="V695:V698"/>
    <mergeCell ref="W695:W698"/>
    <mergeCell ref="X695:X698"/>
    <mergeCell ref="Y695:Y698"/>
    <mergeCell ref="Z695:Z698"/>
    <mergeCell ref="AA695:AA698"/>
    <mergeCell ref="AB695:AB698"/>
    <mergeCell ref="AC695:AC698"/>
    <mergeCell ref="AD695:AD698"/>
    <mergeCell ref="BP695:BP698"/>
    <mergeCell ref="BQ695:BQ698"/>
    <mergeCell ref="BR695:BR698"/>
    <mergeCell ref="BT695:BT698"/>
    <mergeCell ref="BU695:BU698"/>
    <mergeCell ref="BV695:BV698"/>
    <mergeCell ref="BW695:BW698"/>
    <mergeCell ref="BX695:BX698"/>
    <mergeCell ref="P699:Q699"/>
    <mergeCell ref="D700:D705"/>
    <mergeCell ref="E700:E705"/>
    <mergeCell ref="F700:F705"/>
    <mergeCell ref="G700:G705"/>
    <mergeCell ref="H700:H705"/>
    <mergeCell ref="I700:I705"/>
    <mergeCell ref="J700:J705"/>
    <mergeCell ref="K700:K705"/>
    <mergeCell ref="L700:L705"/>
    <mergeCell ref="M700:M705"/>
    <mergeCell ref="N701:N704"/>
    <mergeCell ref="O701:O704"/>
    <mergeCell ref="P701:P704"/>
    <mergeCell ref="Q701:Q704"/>
    <mergeCell ref="R701:R704"/>
    <mergeCell ref="S701:S704"/>
    <mergeCell ref="T701:T704"/>
    <mergeCell ref="U701:U704"/>
    <mergeCell ref="V701:V704"/>
    <mergeCell ref="W701:W704"/>
    <mergeCell ref="X701:X704"/>
    <mergeCell ref="Y701:Y704"/>
    <mergeCell ref="Z701:Z704"/>
    <mergeCell ref="AA701:AA704"/>
    <mergeCell ref="AB701:AB704"/>
    <mergeCell ref="AC701:AC704"/>
    <mergeCell ref="AD701:AD704"/>
    <mergeCell ref="BP701:BP704"/>
    <mergeCell ref="BQ701:BQ704"/>
    <mergeCell ref="BR701:BR704"/>
    <mergeCell ref="BT701:BT704"/>
    <mergeCell ref="BU701:BU704"/>
    <mergeCell ref="BV701:BV704"/>
    <mergeCell ref="BW701:BW704"/>
    <mergeCell ref="BX701:BX704"/>
    <mergeCell ref="P705:Q705"/>
    <mergeCell ref="D706:D711"/>
    <mergeCell ref="E706:E711"/>
    <mergeCell ref="F706:F711"/>
    <mergeCell ref="G706:G711"/>
    <mergeCell ref="H706:H711"/>
    <mergeCell ref="I706:I711"/>
    <mergeCell ref="J706:J711"/>
    <mergeCell ref="K706:K711"/>
    <mergeCell ref="L706:L711"/>
    <mergeCell ref="M706:M711"/>
    <mergeCell ref="N707:N710"/>
    <mergeCell ref="O707:O710"/>
    <mergeCell ref="P707:P710"/>
    <mergeCell ref="Q707:Q710"/>
    <mergeCell ref="R707:R710"/>
    <mergeCell ref="S707:S710"/>
    <mergeCell ref="T707:T710"/>
    <mergeCell ref="U707:U710"/>
    <mergeCell ref="V707:V710"/>
    <mergeCell ref="W707:W710"/>
    <mergeCell ref="X707:X710"/>
    <mergeCell ref="Y707:Y710"/>
    <mergeCell ref="Z707:Z710"/>
    <mergeCell ref="AA707:AA710"/>
    <mergeCell ref="AB707:AB710"/>
    <mergeCell ref="AC707:AC710"/>
    <mergeCell ref="AD707:AD710"/>
    <mergeCell ref="BP707:BP710"/>
    <mergeCell ref="BQ707:BQ710"/>
    <mergeCell ref="BR707:BR710"/>
    <mergeCell ref="BT707:BT710"/>
    <mergeCell ref="BU707:BU710"/>
    <mergeCell ref="BV707:BV710"/>
    <mergeCell ref="BW707:BW710"/>
    <mergeCell ref="BX707:BX710"/>
    <mergeCell ref="P711:Q711"/>
    <mergeCell ref="D712:D717"/>
    <mergeCell ref="E712:E717"/>
    <mergeCell ref="F712:F717"/>
    <mergeCell ref="G712:G717"/>
    <mergeCell ref="H712:H717"/>
    <mergeCell ref="I712:I717"/>
    <mergeCell ref="J712:J717"/>
    <mergeCell ref="K712:K717"/>
    <mergeCell ref="L712:L717"/>
    <mergeCell ref="M712:M717"/>
    <mergeCell ref="N713:N716"/>
    <mergeCell ref="O713:O716"/>
    <mergeCell ref="P713:P716"/>
    <mergeCell ref="Q713:Q716"/>
    <mergeCell ref="R713:R716"/>
    <mergeCell ref="S713:S716"/>
    <mergeCell ref="T713:T716"/>
    <mergeCell ref="U713:U716"/>
    <mergeCell ref="V713:V716"/>
    <mergeCell ref="W713:W716"/>
    <mergeCell ref="X713:X716"/>
    <mergeCell ref="Y713:Y716"/>
    <mergeCell ref="Z713:Z716"/>
    <mergeCell ref="AA713:AA716"/>
    <mergeCell ref="AB713:AB716"/>
    <mergeCell ref="AC713:AC716"/>
    <mergeCell ref="AD713:AD716"/>
    <mergeCell ref="BP713:BP716"/>
    <mergeCell ref="BQ713:BQ716"/>
    <mergeCell ref="BR713:BR716"/>
    <mergeCell ref="BT713:BT716"/>
    <mergeCell ref="BU713:BU716"/>
    <mergeCell ref="BV713:BV716"/>
    <mergeCell ref="BW713:BW716"/>
    <mergeCell ref="BX713:BX716"/>
    <mergeCell ref="P717:Q717"/>
    <mergeCell ref="D718:D723"/>
    <mergeCell ref="E718:E723"/>
    <mergeCell ref="F718:F723"/>
    <mergeCell ref="G718:G723"/>
    <mergeCell ref="H718:H723"/>
    <mergeCell ref="I718:I723"/>
    <mergeCell ref="J718:J723"/>
    <mergeCell ref="K718:K723"/>
    <mergeCell ref="L718:L723"/>
    <mergeCell ref="M718:M723"/>
    <mergeCell ref="N719:N722"/>
    <mergeCell ref="O719:O722"/>
    <mergeCell ref="P719:P722"/>
    <mergeCell ref="Q719:Q722"/>
    <mergeCell ref="R719:R722"/>
    <mergeCell ref="S719:S722"/>
    <mergeCell ref="T719:T722"/>
    <mergeCell ref="U719:U722"/>
    <mergeCell ref="V719:V722"/>
    <mergeCell ref="W719:W722"/>
    <mergeCell ref="X719:X722"/>
    <mergeCell ref="Y719:Y722"/>
    <mergeCell ref="Z719:Z722"/>
    <mergeCell ref="AA719:AA722"/>
    <mergeCell ref="AB719:AB722"/>
    <mergeCell ref="AC719:AC722"/>
    <mergeCell ref="AD719:AD722"/>
    <mergeCell ref="BP719:BP722"/>
    <mergeCell ref="BQ719:BQ722"/>
    <mergeCell ref="BR719:BR722"/>
    <mergeCell ref="BT719:BT722"/>
    <mergeCell ref="BU719:BU722"/>
    <mergeCell ref="BV719:BV722"/>
    <mergeCell ref="BW719:BW722"/>
    <mergeCell ref="BX719:BX722"/>
    <mergeCell ref="P723:Q723"/>
    <mergeCell ref="D724:D729"/>
    <mergeCell ref="E724:E729"/>
    <mergeCell ref="F724:F729"/>
    <mergeCell ref="G724:G729"/>
    <mergeCell ref="H724:H729"/>
    <mergeCell ref="I724:I729"/>
    <mergeCell ref="J724:J729"/>
    <mergeCell ref="K724:K729"/>
    <mergeCell ref="L724:L729"/>
    <mergeCell ref="M724:M729"/>
    <mergeCell ref="N725:N728"/>
    <mergeCell ref="O725:O728"/>
    <mergeCell ref="P725:P728"/>
    <mergeCell ref="Q725:Q728"/>
    <mergeCell ref="R725:R728"/>
    <mergeCell ref="S725:S728"/>
    <mergeCell ref="T725:T728"/>
    <mergeCell ref="U725:U728"/>
    <mergeCell ref="V725:V728"/>
    <mergeCell ref="W725:W728"/>
    <mergeCell ref="X725:X728"/>
    <mergeCell ref="Y725:Y728"/>
    <mergeCell ref="Z725:Z728"/>
    <mergeCell ref="AA725:AA728"/>
    <mergeCell ref="AB725:AB728"/>
    <mergeCell ref="AC725:AC728"/>
    <mergeCell ref="AD725:AD728"/>
    <mergeCell ref="BP725:BP728"/>
    <mergeCell ref="BQ725:BQ728"/>
    <mergeCell ref="BR725:BR728"/>
    <mergeCell ref="BT725:BT728"/>
    <mergeCell ref="BU725:BU728"/>
    <mergeCell ref="BV725:BV728"/>
    <mergeCell ref="BW725:BW728"/>
    <mergeCell ref="BX725:BX728"/>
    <mergeCell ref="P729:Q729"/>
    <mergeCell ref="D730:D735"/>
    <mergeCell ref="E730:E735"/>
    <mergeCell ref="F730:F735"/>
    <mergeCell ref="G730:G735"/>
    <mergeCell ref="H730:H735"/>
    <mergeCell ref="I730:I735"/>
    <mergeCell ref="J730:J735"/>
    <mergeCell ref="K730:K735"/>
    <mergeCell ref="L730:L735"/>
    <mergeCell ref="M730:M735"/>
    <mergeCell ref="N731:N734"/>
    <mergeCell ref="O731:O734"/>
    <mergeCell ref="P731:P734"/>
    <mergeCell ref="Q731:Q734"/>
    <mergeCell ref="R731:R734"/>
    <mergeCell ref="S731:S734"/>
    <mergeCell ref="T731:T734"/>
    <mergeCell ref="U731:U734"/>
    <mergeCell ref="V731:V734"/>
    <mergeCell ref="W731:W734"/>
    <mergeCell ref="X731:X734"/>
    <mergeCell ref="Y731:Y734"/>
    <mergeCell ref="Z731:Z734"/>
    <mergeCell ref="AA731:AA734"/>
    <mergeCell ref="AB731:AB734"/>
    <mergeCell ref="AC731:AC734"/>
    <mergeCell ref="AD731:AD734"/>
    <mergeCell ref="BP731:BP734"/>
    <mergeCell ref="BQ731:BQ734"/>
    <mergeCell ref="BR731:BR734"/>
    <mergeCell ref="BT731:BT734"/>
    <mergeCell ref="BU731:BU734"/>
    <mergeCell ref="BV731:BV734"/>
    <mergeCell ref="BW731:BW734"/>
    <mergeCell ref="BX731:BX734"/>
    <mergeCell ref="P735:Q735"/>
    <mergeCell ref="D736:D741"/>
    <mergeCell ref="E736:E741"/>
    <mergeCell ref="F736:F741"/>
    <mergeCell ref="G736:G741"/>
    <mergeCell ref="H736:H741"/>
    <mergeCell ref="I736:I741"/>
    <mergeCell ref="J736:J741"/>
    <mergeCell ref="K736:K741"/>
    <mergeCell ref="L736:L741"/>
    <mergeCell ref="M736:M741"/>
    <mergeCell ref="N737:N740"/>
    <mergeCell ref="O737:O740"/>
    <mergeCell ref="P737:P740"/>
    <mergeCell ref="Q737:Q740"/>
    <mergeCell ref="R737:R740"/>
    <mergeCell ref="S737:S740"/>
    <mergeCell ref="T737:T740"/>
    <mergeCell ref="U737:U740"/>
    <mergeCell ref="V737:V740"/>
    <mergeCell ref="W737:W740"/>
    <mergeCell ref="X737:X740"/>
    <mergeCell ref="Y737:Y740"/>
    <mergeCell ref="Z737:Z740"/>
    <mergeCell ref="AA737:AA740"/>
    <mergeCell ref="AB737:AB740"/>
    <mergeCell ref="AC737:AC740"/>
    <mergeCell ref="AD737:AD740"/>
    <mergeCell ref="BP737:BP740"/>
    <mergeCell ref="BQ737:BQ740"/>
    <mergeCell ref="BR737:BR740"/>
    <mergeCell ref="BT737:BT740"/>
    <mergeCell ref="BU737:BU740"/>
    <mergeCell ref="BV737:BV740"/>
    <mergeCell ref="BW737:BW740"/>
    <mergeCell ref="BX737:BX740"/>
    <mergeCell ref="P741:Q741"/>
    <mergeCell ref="D742:D747"/>
    <mergeCell ref="E742:E747"/>
    <mergeCell ref="F742:F747"/>
    <mergeCell ref="G742:G747"/>
    <mergeCell ref="H742:H747"/>
    <mergeCell ref="I742:I747"/>
    <mergeCell ref="J742:J747"/>
    <mergeCell ref="K742:K747"/>
    <mergeCell ref="L742:L747"/>
    <mergeCell ref="M742:M747"/>
    <mergeCell ref="N743:N746"/>
    <mergeCell ref="O743:O746"/>
    <mergeCell ref="P743:P746"/>
    <mergeCell ref="Q743:Q746"/>
    <mergeCell ref="R743:R746"/>
    <mergeCell ref="S743:S746"/>
    <mergeCell ref="T743:T746"/>
    <mergeCell ref="U743:U746"/>
    <mergeCell ref="V743:V746"/>
    <mergeCell ref="W743:W746"/>
    <mergeCell ref="X743:X746"/>
    <mergeCell ref="Y743:Y746"/>
    <mergeCell ref="Z743:Z746"/>
    <mergeCell ref="AA743:AA746"/>
    <mergeCell ref="AB743:AB746"/>
    <mergeCell ref="AC743:AC746"/>
    <mergeCell ref="AD743:AD746"/>
    <mergeCell ref="BP743:BP746"/>
    <mergeCell ref="BQ743:BQ746"/>
    <mergeCell ref="BR743:BR746"/>
    <mergeCell ref="BT743:BT746"/>
    <mergeCell ref="BU743:BU746"/>
    <mergeCell ref="BV743:BV746"/>
    <mergeCell ref="BW743:BW746"/>
    <mergeCell ref="BX743:BX746"/>
    <mergeCell ref="P747:Q747"/>
    <mergeCell ref="D748:D753"/>
    <mergeCell ref="E748:E753"/>
    <mergeCell ref="F748:F753"/>
    <mergeCell ref="G748:G753"/>
    <mergeCell ref="H748:H753"/>
    <mergeCell ref="I748:I753"/>
    <mergeCell ref="J748:J753"/>
    <mergeCell ref="K748:K753"/>
    <mergeCell ref="L748:L753"/>
    <mergeCell ref="M748:M753"/>
    <mergeCell ref="N749:N752"/>
    <mergeCell ref="O749:O752"/>
    <mergeCell ref="P749:P752"/>
    <mergeCell ref="Q749:Q752"/>
    <mergeCell ref="R749:R752"/>
    <mergeCell ref="S749:S752"/>
    <mergeCell ref="T749:T752"/>
    <mergeCell ref="U749:U752"/>
    <mergeCell ref="V749:V752"/>
    <mergeCell ref="W749:W752"/>
    <mergeCell ref="X749:X752"/>
    <mergeCell ref="Y749:Y752"/>
    <mergeCell ref="Z749:Z752"/>
    <mergeCell ref="AA749:AA752"/>
    <mergeCell ref="AB749:AB752"/>
    <mergeCell ref="AC749:AC752"/>
    <mergeCell ref="AD749:AD752"/>
    <mergeCell ref="BP749:BP752"/>
    <mergeCell ref="BQ749:BQ752"/>
    <mergeCell ref="BR749:BR752"/>
    <mergeCell ref="BT749:BT752"/>
    <mergeCell ref="BU749:BU752"/>
    <mergeCell ref="BV749:BV752"/>
    <mergeCell ref="BW749:BW752"/>
    <mergeCell ref="BX749:BX752"/>
    <mergeCell ref="P753:Q753"/>
    <mergeCell ref="D754:D759"/>
    <mergeCell ref="E754:E759"/>
    <mergeCell ref="F754:F759"/>
    <mergeCell ref="G754:G759"/>
    <mergeCell ref="H754:H759"/>
    <mergeCell ref="I754:I759"/>
    <mergeCell ref="J754:J759"/>
    <mergeCell ref="K754:K759"/>
    <mergeCell ref="L754:L759"/>
    <mergeCell ref="M754:M759"/>
    <mergeCell ref="N755:N758"/>
    <mergeCell ref="O755:O758"/>
    <mergeCell ref="P755:P758"/>
    <mergeCell ref="Q755:Q758"/>
    <mergeCell ref="R755:R758"/>
    <mergeCell ref="S755:S758"/>
    <mergeCell ref="T755:T758"/>
    <mergeCell ref="U755:U758"/>
    <mergeCell ref="V755:V758"/>
    <mergeCell ref="W755:W758"/>
    <mergeCell ref="X755:X758"/>
    <mergeCell ref="Y755:Y758"/>
    <mergeCell ref="Z755:Z758"/>
    <mergeCell ref="AA755:AA758"/>
    <mergeCell ref="AB755:AB758"/>
    <mergeCell ref="AC755:AC758"/>
    <mergeCell ref="AD755:AD758"/>
    <mergeCell ref="BP755:BP758"/>
    <mergeCell ref="BQ755:BQ758"/>
    <mergeCell ref="BR755:BR758"/>
    <mergeCell ref="BT755:BT758"/>
    <mergeCell ref="BU755:BU758"/>
    <mergeCell ref="BV755:BV758"/>
    <mergeCell ref="BW755:BW758"/>
    <mergeCell ref="BX755:BX758"/>
    <mergeCell ref="P759:Q759"/>
    <mergeCell ref="D760:D767"/>
    <mergeCell ref="E760:E767"/>
    <mergeCell ref="F760:F767"/>
    <mergeCell ref="G760:G767"/>
    <mergeCell ref="H760:H767"/>
    <mergeCell ref="I760:I767"/>
    <mergeCell ref="J760:J767"/>
    <mergeCell ref="K760:K767"/>
    <mergeCell ref="L760:L767"/>
    <mergeCell ref="M760:M767"/>
    <mergeCell ref="N761:N766"/>
    <mergeCell ref="O761:O766"/>
    <mergeCell ref="P761:P766"/>
    <mergeCell ref="Q761:Q766"/>
    <mergeCell ref="R761:R766"/>
    <mergeCell ref="S761:S766"/>
    <mergeCell ref="T761:T766"/>
    <mergeCell ref="U761:U766"/>
    <mergeCell ref="V761:V766"/>
    <mergeCell ref="W761:W766"/>
    <mergeCell ref="X761:X766"/>
    <mergeCell ref="Y761:Y766"/>
    <mergeCell ref="Z761:Z766"/>
    <mergeCell ref="AA761:AA766"/>
    <mergeCell ref="AB761:AB766"/>
    <mergeCell ref="AC761:AC766"/>
    <mergeCell ref="AD761:AD766"/>
    <mergeCell ref="BP761:BP766"/>
    <mergeCell ref="BQ761:BQ766"/>
    <mergeCell ref="BR761:BR766"/>
    <mergeCell ref="BT761:BT766"/>
    <mergeCell ref="BU761:BU766"/>
    <mergeCell ref="BV761:BV766"/>
    <mergeCell ref="BW761:BW766"/>
    <mergeCell ref="BX761:BX766"/>
    <mergeCell ref="P767:Q767"/>
    <mergeCell ref="D768:D775"/>
    <mergeCell ref="E768:E775"/>
    <mergeCell ref="F768:F775"/>
    <mergeCell ref="G768:G775"/>
    <mergeCell ref="H768:H775"/>
    <mergeCell ref="I768:I775"/>
    <mergeCell ref="J768:J775"/>
    <mergeCell ref="K768:K775"/>
    <mergeCell ref="L768:L775"/>
    <mergeCell ref="M768:M775"/>
    <mergeCell ref="N769:N774"/>
    <mergeCell ref="O769:O774"/>
    <mergeCell ref="P769:P774"/>
    <mergeCell ref="Q769:Q774"/>
    <mergeCell ref="R769:R774"/>
    <mergeCell ref="S769:S774"/>
    <mergeCell ref="T769:T774"/>
    <mergeCell ref="U769:U774"/>
    <mergeCell ref="V769:V774"/>
    <mergeCell ref="W769:W774"/>
    <mergeCell ref="X769:X774"/>
    <mergeCell ref="Y769:Y774"/>
    <mergeCell ref="Z769:Z774"/>
    <mergeCell ref="AA769:AA774"/>
    <mergeCell ref="AB769:AB774"/>
    <mergeCell ref="AC769:AC774"/>
    <mergeCell ref="AD769:AD774"/>
    <mergeCell ref="BP769:BP774"/>
    <mergeCell ref="BQ769:BQ774"/>
    <mergeCell ref="BR769:BR774"/>
    <mergeCell ref="BT769:BT774"/>
    <mergeCell ref="BU769:BU774"/>
    <mergeCell ref="BV769:BV774"/>
    <mergeCell ref="BW769:BW774"/>
    <mergeCell ref="BX769:BX774"/>
    <mergeCell ref="P775:Q775"/>
    <mergeCell ref="D776:D781"/>
    <mergeCell ref="E776:E781"/>
    <mergeCell ref="F776:F781"/>
    <mergeCell ref="G776:G781"/>
    <mergeCell ref="H776:H781"/>
    <mergeCell ref="I776:I781"/>
    <mergeCell ref="J776:J781"/>
    <mergeCell ref="K776:K781"/>
    <mergeCell ref="L776:L781"/>
    <mergeCell ref="M776:M781"/>
    <mergeCell ref="N777:N780"/>
    <mergeCell ref="O777:O780"/>
    <mergeCell ref="P777:P780"/>
    <mergeCell ref="Q777:Q780"/>
    <mergeCell ref="R777:R780"/>
    <mergeCell ref="S777:S780"/>
    <mergeCell ref="T777:T780"/>
    <mergeCell ref="U777:U780"/>
    <mergeCell ref="V777:V780"/>
    <mergeCell ref="W777:W780"/>
    <mergeCell ref="X777:X780"/>
    <mergeCell ref="Y777:Y780"/>
    <mergeCell ref="Z777:Z780"/>
    <mergeCell ref="AA777:AA780"/>
    <mergeCell ref="AB777:AB780"/>
    <mergeCell ref="AC777:AC780"/>
    <mergeCell ref="AD777:AD780"/>
    <mergeCell ref="BP777:BP780"/>
    <mergeCell ref="BQ777:BQ780"/>
    <mergeCell ref="BR777:BR780"/>
    <mergeCell ref="BT777:BT780"/>
    <mergeCell ref="BU777:BU780"/>
    <mergeCell ref="BV777:BV780"/>
    <mergeCell ref="BW777:BW780"/>
    <mergeCell ref="BX777:BX780"/>
    <mergeCell ref="P781:Q781"/>
    <mergeCell ref="D782:D787"/>
    <mergeCell ref="E782:E787"/>
    <mergeCell ref="F782:F787"/>
    <mergeCell ref="G782:G787"/>
    <mergeCell ref="H782:H787"/>
    <mergeCell ref="I782:I787"/>
    <mergeCell ref="J782:J787"/>
    <mergeCell ref="K782:K787"/>
    <mergeCell ref="L782:L787"/>
    <mergeCell ref="M782:M787"/>
    <mergeCell ref="N783:N786"/>
    <mergeCell ref="O783:O786"/>
    <mergeCell ref="P783:P786"/>
    <mergeCell ref="Q783:Q786"/>
    <mergeCell ref="R783:R786"/>
    <mergeCell ref="S783:S786"/>
    <mergeCell ref="T783:T786"/>
    <mergeCell ref="U783:U786"/>
    <mergeCell ref="V783:V786"/>
    <mergeCell ref="W783:W786"/>
    <mergeCell ref="X783:X786"/>
    <mergeCell ref="Y783:Y786"/>
    <mergeCell ref="Z783:Z786"/>
    <mergeCell ref="AA783:AA786"/>
    <mergeCell ref="AB783:AB786"/>
    <mergeCell ref="AC783:AC786"/>
    <mergeCell ref="AD783:AD786"/>
    <mergeCell ref="BP783:BP786"/>
    <mergeCell ref="BQ783:BQ786"/>
    <mergeCell ref="BR783:BR786"/>
    <mergeCell ref="BT783:BT786"/>
    <mergeCell ref="BU783:BU786"/>
    <mergeCell ref="BV783:BV786"/>
    <mergeCell ref="BW783:BW786"/>
    <mergeCell ref="BX783:BX786"/>
    <mergeCell ref="P787:Q787"/>
    <mergeCell ref="D788:D793"/>
    <mergeCell ref="E788:E793"/>
    <mergeCell ref="F788:F793"/>
    <mergeCell ref="G788:G793"/>
    <mergeCell ref="H788:H793"/>
    <mergeCell ref="I788:I793"/>
    <mergeCell ref="J788:J793"/>
    <mergeCell ref="K788:K793"/>
    <mergeCell ref="L788:L793"/>
    <mergeCell ref="M788:M793"/>
    <mergeCell ref="N789:N792"/>
    <mergeCell ref="O789:O792"/>
    <mergeCell ref="P789:P792"/>
    <mergeCell ref="Q789:Q792"/>
    <mergeCell ref="R789:R792"/>
    <mergeCell ref="S789:S792"/>
    <mergeCell ref="T789:T792"/>
    <mergeCell ref="U789:U792"/>
    <mergeCell ref="V789:V792"/>
    <mergeCell ref="W789:W792"/>
    <mergeCell ref="X789:X792"/>
    <mergeCell ref="Y789:Y792"/>
    <mergeCell ref="Z789:Z792"/>
    <mergeCell ref="AA789:AA792"/>
    <mergeCell ref="AB789:AB792"/>
    <mergeCell ref="AC789:AC792"/>
    <mergeCell ref="AD789:AD792"/>
    <mergeCell ref="BP789:BP792"/>
    <mergeCell ref="BQ789:BQ792"/>
    <mergeCell ref="BR789:BR792"/>
    <mergeCell ref="BT789:BT792"/>
    <mergeCell ref="BU789:BU792"/>
    <mergeCell ref="BV789:BV792"/>
    <mergeCell ref="BW789:BW792"/>
    <mergeCell ref="BX789:BX792"/>
    <mergeCell ref="P793:Q793"/>
    <mergeCell ref="D794:D799"/>
    <mergeCell ref="E794:E799"/>
    <mergeCell ref="F794:F799"/>
    <mergeCell ref="G794:G799"/>
    <mergeCell ref="H794:H799"/>
    <mergeCell ref="I794:I799"/>
    <mergeCell ref="J794:J799"/>
    <mergeCell ref="K794:K799"/>
    <mergeCell ref="L794:L799"/>
    <mergeCell ref="M794:M799"/>
    <mergeCell ref="N795:N798"/>
    <mergeCell ref="O795:O798"/>
    <mergeCell ref="P795:P798"/>
    <mergeCell ref="Q795:Q798"/>
    <mergeCell ref="R795:R798"/>
    <mergeCell ref="S795:S798"/>
    <mergeCell ref="T795:T798"/>
    <mergeCell ref="U795:U798"/>
    <mergeCell ref="V795:V798"/>
    <mergeCell ref="W795:W798"/>
    <mergeCell ref="X795:X798"/>
    <mergeCell ref="Y795:Y798"/>
    <mergeCell ref="Z795:Z798"/>
    <mergeCell ref="AA795:AA798"/>
    <mergeCell ref="AB795:AB798"/>
    <mergeCell ref="AC795:AC798"/>
    <mergeCell ref="AD795:AD798"/>
    <mergeCell ref="BP795:BP798"/>
    <mergeCell ref="BQ795:BQ798"/>
    <mergeCell ref="BR795:BR798"/>
    <mergeCell ref="BT795:BT798"/>
    <mergeCell ref="BU795:BU798"/>
    <mergeCell ref="BV795:BV798"/>
    <mergeCell ref="BW795:BW798"/>
    <mergeCell ref="BX795:BX798"/>
    <mergeCell ref="P799:Q799"/>
    <mergeCell ref="D800:D805"/>
    <mergeCell ref="E800:E805"/>
    <mergeCell ref="F800:F805"/>
    <mergeCell ref="G800:G805"/>
    <mergeCell ref="H800:H805"/>
    <mergeCell ref="I800:I805"/>
    <mergeCell ref="J800:J805"/>
    <mergeCell ref="K800:K805"/>
    <mergeCell ref="L800:L805"/>
    <mergeCell ref="M800:M805"/>
    <mergeCell ref="N801:N804"/>
    <mergeCell ref="O801:O804"/>
    <mergeCell ref="P801:P804"/>
    <mergeCell ref="Q801:Q804"/>
    <mergeCell ref="R801:R804"/>
    <mergeCell ref="S801:S804"/>
    <mergeCell ref="T801:T804"/>
    <mergeCell ref="U801:U804"/>
    <mergeCell ref="V801:V804"/>
    <mergeCell ref="W801:W804"/>
    <mergeCell ref="X801:X804"/>
    <mergeCell ref="Y801:Y804"/>
    <mergeCell ref="Z801:Z804"/>
    <mergeCell ref="AA801:AA804"/>
    <mergeCell ref="AB801:AB804"/>
    <mergeCell ref="AC801:AC804"/>
    <mergeCell ref="AD801:AD804"/>
    <mergeCell ref="BP801:BP804"/>
    <mergeCell ref="BQ801:BQ804"/>
    <mergeCell ref="BR801:BR804"/>
    <mergeCell ref="BT801:BT804"/>
    <mergeCell ref="BU801:BU804"/>
    <mergeCell ref="BV801:BV804"/>
    <mergeCell ref="BW801:BW804"/>
    <mergeCell ref="BX801:BX804"/>
    <mergeCell ref="P805:Q805"/>
    <mergeCell ref="D806:D811"/>
    <mergeCell ref="E806:E811"/>
    <mergeCell ref="F806:F811"/>
    <mergeCell ref="G806:G811"/>
    <mergeCell ref="H806:H811"/>
    <mergeCell ref="I806:I811"/>
    <mergeCell ref="J806:J811"/>
    <mergeCell ref="K806:K811"/>
    <mergeCell ref="L806:L811"/>
    <mergeCell ref="M806:M811"/>
    <mergeCell ref="N807:N810"/>
    <mergeCell ref="O807:O810"/>
    <mergeCell ref="P807:P810"/>
    <mergeCell ref="Q807:Q810"/>
    <mergeCell ref="R807:R810"/>
    <mergeCell ref="S807:S810"/>
    <mergeCell ref="T807:T810"/>
    <mergeCell ref="U807:U810"/>
    <mergeCell ref="V807:V810"/>
    <mergeCell ref="W807:W810"/>
    <mergeCell ref="X807:X810"/>
    <mergeCell ref="Y807:Y810"/>
    <mergeCell ref="Z807:Z810"/>
    <mergeCell ref="AA807:AA810"/>
    <mergeCell ref="AB807:AB810"/>
    <mergeCell ref="AC807:AC810"/>
    <mergeCell ref="AD807:AD810"/>
    <mergeCell ref="BP807:BP810"/>
    <mergeCell ref="BQ807:BQ810"/>
    <mergeCell ref="BR807:BR810"/>
    <mergeCell ref="BT807:BT810"/>
    <mergeCell ref="BU807:BU810"/>
    <mergeCell ref="BV807:BV810"/>
    <mergeCell ref="BW807:BW810"/>
    <mergeCell ref="BX807:BX810"/>
    <mergeCell ref="P811:Q811"/>
    <mergeCell ref="D812:D817"/>
    <mergeCell ref="E812:E817"/>
    <mergeCell ref="F812:F817"/>
    <mergeCell ref="G812:G817"/>
    <mergeCell ref="H812:H817"/>
    <mergeCell ref="I812:I817"/>
    <mergeCell ref="J812:J817"/>
    <mergeCell ref="K812:K817"/>
    <mergeCell ref="L812:L817"/>
    <mergeCell ref="M812:M817"/>
    <mergeCell ref="N813:N816"/>
    <mergeCell ref="O813:O816"/>
    <mergeCell ref="P813:P816"/>
    <mergeCell ref="Q813:Q816"/>
    <mergeCell ref="R813:R816"/>
    <mergeCell ref="S813:S816"/>
    <mergeCell ref="T813:T816"/>
    <mergeCell ref="U813:U816"/>
    <mergeCell ref="V813:V816"/>
    <mergeCell ref="W813:W816"/>
    <mergeCell ref="X813:X816"/>
    <mergeCell ref="Y813:Y816"/>
    <mergeCell ref="Z813:Z816"/>
    <mergeCell ref="AA813:AA816"/>
    <mergeCell ref="AB813:AB816"/>
    <mergeCell ref="AC813:AC816"/>
    <mergeCell ref="AD813:AD816"/>
    <mergeCell ref="BP813:BP816"/>
    <mergeCell ref="BQ813:BQ816"/>
    <mergeCell ref="BR813:BR816"/>
    <mergeCell ref="BT813:BT816"/>
    <mergeCell ref="BU813:BU816"/>
    <mergeCell ref="BV813:BV816"/>
    <mergeCell ref="BW813:BW816"/>
    <mergeCell ref="BX813:BX816"/>
    <mergeCell ref="P817:Q817"/>
    <mergeCell ref="D818:D823"/>
    <mergeCell ref="E818:E823"/>
    <mergeCell ref="F818:F823"/>
    <mergeCell ref="G818:G823"/>
    <mergeCell ref="H818:H823"/>
    <mergeCell ref="I818:I823"/>
    <mergeCell ref="J818:J823"/>
    <mergeCell ref="K818:K823"/>
    <mergeCell ref="L818:L823"/>
    <mergeCell ref="M818:M823"/>
    <mergeCell ref="N819:N822"/>
    <mergeCell ref="O819:O822"/>
    <mergeCell ref="P819:P822"/>
    <mergeCell ref="Q819:Q822"/>
    <mergeCell ref="R819:R822"/>
    <mergeCell ref="S819:S822"/>
    <mergeCell ref="T819:T822"/>
    <mergeCell ref="U819:U822"/>
    <mergeCell ref="V819:V822"/>
    <mergeCell ref="W819:W822"/>
    <mergeCell ref="X819:X822"/>
    <mergeCell ref="Y819:Y822"/>
    <mergeCell ref="Z819:Z822"/>
    <mergeCell ref="AA819:AA822"/>
    <mergeCell ref="AB819:AB822"/>
    <mergeCell ref="AC819:AC822"/>
    <mergeCell ref="D824:D829"/>
    <mergeCell ref="E824:E829"/>
    <mergeCell ref="F824:F829"/>
    <mergeCell ref="G824:G829"/>
    <mergeCell ref="H824:H829"/>
    <mergeCell ref="I824:I829"/>
    <mergeCell ref="J824:J829"/>
    <mergeCell ref="K824:K829"/>
    <mergeCell ref="L824:L829"/>
    <mergeCell ref="M824:M829"/>
    <mergeCell ref="N825:N828"/>
    <mergeCell ref="O825:O828"/>
    <mergeCell ref="P825:P828"/>
    <mergeCell ref="Q825:Q828"/>
    <mergeCell ref="R825:R828"/>
    <mergeCell ref="S825:S828"/>
    <mergeCell ref="T825:T828"/>
    <mergeCell ref="Z825:Z828"/>
    <mergeCell ref="AA825:AA828"/>
    <mergeCell ref="AB825:AB828"/>
    <mergeCell ref="AC825:AC828"/>
    <mergeCell ref="AD825:AD828"/>
    <mergeCell ref="BP825:BP828"/>
    <mergeCell ref="BQ825:BQ828"/>
    <mergeCell ref="BR825:BR828"/>
    <mergeCell ref="BT825:BT828"/>
    <mergeCell ref="BU825:BU828"/>
    <mergeCell ref="BV825:BV828"/>
    <mergeCell ref="BW825:BW828"/>
    <mergeCell ref="BX825:BX828"/>
    <mergeCell ref="P829:Q829"/>
    <mergeCell ref="AD819:AD822"/>
    <mergeCell ref="BP819:BP822"/>
    <mergeCell ref="BQ819:BQ822"/>
    <mergeCell ref="BR819:BR822"/>
    <mergeCell ref="BT819:BT822"/>
    <mergeCell ref="BU819:BU822"/>
    <mergeCell ref="BV819:BV822"/>
    <mergeCell ref="BW819:BW822"/>
    <mergeCell ref="BX819:BX822"/>
    <mergeCell ref="P823:Q823"/>
    <mergeCell ref="U825:U828"/>
    <mergeCell ref="V825:V828"/>
    <mergeCell ref="W825:W828"/>
    <mergeCell ref="X825:X828"/>
    <mergeCell ref="Y825:Y828"/>
  </mergeCells>
  <phoneticPr fontId="0" type="noConversion"/>
  <dataValidations count="14">
    <dataValidation allowBlank="1" showInputMessage="1" promptTitle="Ввод" sqref="AQ3"/>
    <dataValidation allowBlank="1" showInputMessage="1" showErrorMessage="1" promptTitle="Ввод" prompt="Для выбора объекта необходимо два раза нажать левую кнопку мыши!" sqref="Q61 Q67 Q73 Q79 Q85 Q91 Q97 Q103 Q109 Q115 Q121 Q129 Q135 Q143 Q138:Q139 Q132:Q133 Q124:Q125 Q118:Q119 Q112:Q113 Q106:Q107 Q100:Q101 Q94:Q95 Q88:Q89 Q82:Q83 Q76:Q77 Q70:Q71 Q64:Q65 Q58:Q59 Q52:Q53 Q55 Q146:Q147 Q151 Q242 Q164 Q170 Q176 Q182 Q188 Q194 Q200 Q206 Q212 Q218 Q224 Q230 Q236 Q161:Q162 Q167:Q168 Q173:Q174 Q179:Q180 Q185:Q186 Q191:Q192 Q197:Q198 Q203:Q204 Q209:Q210 Q215:Q216 Q221:Q222 Q227:Q228 Q233:Q234 Q239:Q240 Q245:Q246 Q248 Q251:Q252 Q254 Q257:Q258 Q260 Q263:Q264 Q266 Q278 Q284 Q290 Q296 Q302 Q308 Q314 Q320 Q326 Q332 Q338 Q335:Q336 Q329:Q330 Q323:Q324 Q317:Q318 Q311:Q312 Q305:Q306 Q299:Q300 Q293:Q294 Q287:Q288 Q281:Q282 Q275:Q276 Q269:Q270 Q272 Q452 Q344 Q350 Q356 Q362 Q368 Q374 Q380 Q386 Q392 Q398 Q404 Q410 Q416 Q422 Q428 Q434 Q440 Q446 Q341:Q342 Q347:Q348 Q353:Q354 Q359:Q360 Q365:Q366 Q371:Q372 Q377:Q378 Q383:Q384 Q389:Q390 Q395:Q396 Q401:Q402 Q407:Q408 Q413:Q414 Q419:Q420 Q425:Q426 Q431:Q432 Q437:Q438 Q443:Q444 Q449:Q450 Q455:Q456 Q458 Q470 Q476 Q482 Q488 Q494 Q500 Q506 Q512 Q518 Q524 Q530 Q536 Q542 Q548 Q554 Q560 Q566 Q572 Q578 Q575:Q576 Q569:Q570 Q563:Q564 Q557:Q558 Q551:Q552 Q545:Q546 Q539:Q540 Q533:Q534 Q527:Q528 Q521:Q522 Q515:Q516 Q509:Q510 Q503:Q504 Q497:Q498 Q491:Q492 Q485:Q486 Q479:Q480 Q473:Q474 Q467:Q468 Q461:Q462 Q464 Q692 Q584 Q590 Q596 Q602 Q608 Q614 Q620 Q626 Q632 Q638 Q644 Q650 Q656 Q662 Q668 Q674 Q680 Q686 Q581:Q582 Q587:Q588 Q593:Q594 Q599:Q600 Q605:Q606 Q611:Q612 Q617:Q618 Q623:Q624 Q629:Q630 Q635:Q636 Q641:Q642 Q647:Q648 Q653:Q654 Q659:Q660 Q665:Q666 Q671:Q672 Q677:Q678 Q683:Q684 Q689:Q690 Q695:Q696 Q698 Q710 Q716 Q722 Q728 Q734 Q740 Q746 Q752 Q704 Q766 Q774 Q780 Q786 Q792 Q798 Q804 Q810 Q816 Q822 Q819:Q820 Q813:Q814 Q807:Q808 Q801:Q802 Q795:Q796 Q789:Q790 Q783:Q784 Q777:Q778 Q769:Q770 Q761:Q762 Q755:Q756 Q758 Q749:Q750 Q743:Q744 Q737:Q738 Q731:Q732 Q725:Q726 Q719:Q720 Q713:Q714 Q707:Q708 Q701:Q702 Q825:Q826 Q828"/>
    <dataValidation allowBlank="1" showInputMessage="1" showErrorMessage="1" promptTitle="Ввод" prompt="Для выбора необходимо два раза нажать левую кнопку мыши!" sqref="H55:J59 H135:J139 H129:J133 H121:J125 H115:J119 H109:J113 H103:J107 H97:J101 H91:J95 H85:J89 H79:J83 H73:J77 H67:J71 H61:J65 H51:J53 H143:J147 H151:J152 H160:J162 H164:J168 H170:J174 H176:J180 H182:J186 H188:J192 H194:J198 H200:J204 H212:J216 H218:J222 H224:J228 H230:J234 H242:J246 H206:J210 H248:J252 H236:J240 H254:J258 H260:J264 H272:J276 H332:J336 H326:J330 H320:J324 H314:J318 H308:J312 H302:J306 H296:J300 H290:J294 H284:J288 H278:J282 H266:J270 H338:J342 H344:J348 H350:J354 H356:J360 H362:J366 H368:J372 H374:J378 H380:J384 H386:J390 H392:J396 H398:J402 H404:J408 H410:J414 H416:J420 H422:J426 H428:J432 H434:J438 H440:J444 H446:J450 H452:J456 H464:J468 H572:J576 H566:J570 H560:J564 H554:J558 H548:J552 H542:J546 H536:J540 H530:J534 H524:J528 H518:J522 H512:J516 H506:J510 H500:J504 H494:J498 H488:J492 H482:J486 H476:J480 H470:J474 H458:J462 H578:J582 H584:J588 H590:J594 H596:J600 H602:J606 H608:J612 H614:J618 H620:J624 H626:J630 H632:J636 H638:J642 H644:J648 H650:J654 H656:J660 H662:J666 H668:J672 H674:J678 H680:J684 H686:J690 H692:J696 H758:J762 H816:J820 H810:J814 H804:J808 H798:J802 H792:J796 H786:J790 H780:J784 H774:J778 H766:J770 H704:J708 H752:J756 H746:J750 H740:J744 H734:J738 H728:J732 H722:J726 H716:J720 H710:J714 H698:J702 H822:J826 H828:J829"/>
    <dataValidation type="list" operator="lessThanOrEqual" allowBlank="1" showInputMessage="1" showErrorMessage="1" errorTitle="Ошибка" error="Необходимо выбрать значение из списка!" promptTitle="Ввод" prompt="Необходимо указать принадлежность объекта к инфраструктуре ТЭ или его отсутствие" sqref="P61 P67 P73 P79 P85 P91 P97 P103 P109 P115 P121 P129 P135 P143 P138:P139 P132:P133 P124:P125 P118:P119 P112:P113 P106:P107 P100:P101 P94:P95 P88:P89 P82:P83 P76:P77 P70:P71 P64:P65 P58:P59 P52:P53 P55 P146:P147 P151 P242 P164 P170 P176 P182 P188 P194 P200 P206 P212 P218 P224 P230 P236 P161:P162 P167:P168 P173:P174 P179:P180 P185:P186 P191:P192 P197:P198 P203:P204 P209:P210 P215:P216 P221:P222 P227:P228 P233:P234 P239:P240 P245:P246 P248 P251:P252 P254 P257:P258 P260 P263:P264 P266 P278 P284 P290 P296 P302 P308 P314 P320 P326 P332 P338 P335:P336 P329:P330 P323:P324 P317:P318 P311:P312 P305:P306 P299:P300 P293:P294 P287:P288 P281:P282 P275:P276 P269:P270 P272 P452 P344 P350 P356 P362 P368 P374 P380 P386 P392 P398 P404 P410 P416 P422 P428 P434 P440 P446 P341:P342 P347:P348 P353:P354 P359:P360 P365:P366 P371:P372 P377:P378 P383:P384 P389:P390 P395:P396 P401:P402 P407:P408 P413:P414 P419:P420 P425:P426 P431:P432 P437:P438 P443:P444 P449:P450 P455:P456 P458 P470 P476 P482 P488 P494 P500 P506 P512 P518 P524 P530 P536 P542 P548 P554 P560 P566 P572 P578 P575:P576 P569:P570 P563:P564 P557:P558 P551:P552 P545:P546 P539:P540 P533:P534 P527:P528 P521:P522 P515:P516 P509:P510 P503:P504 P497:P498 P491:P492 P485:P486 P479:P480 P473:P474 P467:P468 P461:P462 P464 P692 P584 P590 P596 P602 P608 P614 P620 P626 P632 P638 P644 P650 P656 P662 P668 P674 P680 P686 P581:P582 P587:P588 P593:P594 P599:P600 P605:P606 P611:P612 P617:P618 P623:P624 P629:P630 P635:P636 P641:P642 P647:P648 P653:P654 P659:P660 P665:P666 P671:P672 P677:P678 P683:P684 P689:P690 P695:P696 P698 P710 P716 P722 P728 P734 P740 P746 P752 P704 P766 P774 P780 P786 P792 P798 P804 P810 P816 P822 P819:P820 P813:P814 P807:P808 P801:P802 P795:P796 P789:P790 P783:P784 P777:P778 P769:P770 P761:P762 P755:P756 P758 P749:P750 P743:P744 P737:P738 P731:P732 P725:P726 P719:P720 P713:P714 P707:P708 P701:P702 P825:P826 P828">
      <formula1>"да,без привязки к объекту"</formula1>
    </dataValidation>
    <dataValidation type="decimal" allowBlank="1" showErrorMessage="1" errorTitle="Ошибка" error="Допускается ввод только неотрицательных чисел!" sqref="BI53:BJ54 BF53:BG54 BC53:BD54 AZ53:BA54 AT53:AX54 BL59:BM60 BI59:BJ60 BF59:BG60 BC59:BD60 AZ59:BA60 AT59:AX60 BL65:BM66 BI65:BJ66 BF65:BG66 BC65:BD66 AZ65:BA66 AT65:AX66 BL71:BM72 BI71:BJ72 BF71:BG72 BC71:BD72 AZ71:BA72 AT71:AX72 BL77:BM78 BI77:BJ78 BF77:BG78 BC77:BD78 AZ77:BA78 AT77:AX78 BL83:BM84 BI83:BJ84 BF83:BG84 BC83:BD84 AZ83:BA84 AT83:AX84 BL89:BM90 BI89:BJ90 BF89:BG90 BC89:BD90 AZ89:BA90 AT89:AX90 BL95:BM96 BI95:BJ96 BF95:BG96 BC95:BD96 AZ95:BA96 AT95:AX96 BL101:BM102 BI101:BJ102 BF101:BG102 BC101:BD102 AZ101:BA102 AT101:AX102 BL107:BM108 BI107:BJ108 BF107:BG108 BC107:BD108 AZ107:BA108 AT107:AX108 BL113:BM114 BI113:BJ114 BF113:BG114 BC113:BD114 AZ113:BA114 AT113:AX114 BF119:BG120 BC119:BD120 AZ119:BA120 AT119:AX120 BL119:BM120 BI119:BJ120 BF125:BG128 BC125:BD128 AZ125:BA128 AT125:AX128 BL125:BM128 BF147:BG150 BF133:BG134 BC133:BD134 AZ133:BA134 AT133:AX134 BL133:BM134 BI133:BJ134 BF139:BG142 BC139:BD142 AZ139:BA142 AT139:AX142 BL139:BM142 BI139:BJ142 BL53:BM54 BC147:BD150 AZ147:BA150 AT147:AX150 BL147:BM150 BI125:BJ128 BI147:BJ150 BI162:BJ163 BF162:BG163 BC162:BD163 AZ162:BA163 AT162:AX163 BL246:BM247 BI168:BJ169 BF168:BG169 BC168:BD169 AZ168:BA169 AT168:AX169 BL162:BM163 BI174:BJ175 BF174:BG175 BC174:BD175 AZ174:BA175 AT174:AX175 BL168:BM169 BI180:BJ181 BF180:BG181 BC180:BD181 AZ180:BA181 AT180:AX181 BL174:BM175 BI186:BJ187 BF186:BG187 BC186:BD187 AZ186:BA187 AT186:AX187 BL180:BM181 BI192:BJ193 BF192:BG193 BC192:BD193 AZ192:BA193 AT192:AX193 BL186:BM187 BI198:BJ199 BF198:BG199 BC198:BD199 AZ198:BA199 AT198:AX199 BL192:BM193 BI204:BJ205 BF204:BG205 BC204:BD205 AZ204:BA205 AT204:AX205 BL198:BM199 BL204:BM205 BI210:BJ211 BF210:BG211 BC210:BD211 AZ210:BA211 AT210:AX211 BI216:BJ217 BF216:BG217 BC216:BD217 AZ216:BA217 AT216:AX217 BL210:BM211 BI222:BJ223 BF222:BG223 BC222:BD223 AZ222:BA223 AT222:AX223 BL216:BM217 BI228:BJ229 BF228:BG229 BC228:BD229 AZ228:BA229 AT228:AX229 BL222:BM223 BI234:BJ235 BF234:BG235 BC234:BD235 AZ234:BA235 AT234:AX235 BL228:BM229 BL234:BM235 BI240:BJ241 BF240:BG241 BC240:BD241 AZ240:BA241 AT240:AX241 BI246:BJ247 BF246:BG247 BC246:BD247 AZ246:BA247 BL240:BM241 AT246:AX247 BI252:BJ253 BF252:BG253 BC252:BD253 AZ252:BA253 AT252:AX253 BL252:BM253 BI258:BJ259 BF258:BG259 BC258:BD259 AZ258:BA259 AT258:AX259 BL258:BM259 BI264:BJ265 BF264:BG265 BC264:BD265 AZ264:BA265 AT264:AX265 BL264:BM265 BI270:BJ271 BF270:BG271 BC270:BD271 AZ270:BA271 AT270:AX271 BL276:BM277 BI276:BJ277 BF276:BG277 BC276:BD277 AZ276:BA277 AT276:AX277 BL282:BM283 BI282:BJ283 BF282:BG283 BC282:BD283 AZ282:BA283 AT282:AX283 BL288:BM289 BI288:BJ289 BF288:BG289 BC288:BD289 AZ288:BA289 AT288:AX289 BL294:BM295 BI294:BJ295 BF294:BG295 BC294:BD295 AZ294:BA295 AT294:AX295 BL300:BM301 BI300:BJ301 BF300:BG301 BC300:BD301 AZ300:BA301 AT300:AX301 BL306:BM307 BI306:BJ307 BF306:BG307 BC306:BD307 AZ306:BA307 AT306:AX307 BL312:BM313 BI312:BJ313 BF312:BG313 BC312:BD313 AZ312:BA313 AT312:AX313 BL318:BM319 BI318:BJ319 BF318:BG319 BC318:BD319 AZ318:BA319 AT318:AX319 BL324:BM325 BI324:BJ325 BF324:BG325 BC324:BD325 AZ324:BA325 AT324:AX325 BL330:BM331 BI330:BJ331 BF330:BG331 BC330:BD331 AZ330:BA331 AT330:AX331 BL336:BM337 BI336:BJ337 BF336:BG337 BC336:BD337 AZ336:BA337 AT336:AX337 BL270:BM271 BI342:BJ343 BF342:BG343 BC342:BD343 AZ342:BA343 AT342:AX343 BL456:BM457 BI348:BJ349 BF348:BG349 BC348:BD349 AZ348:BA349 AT348:AX349 BL342:BM343 BI354:BJ355 BF354:BG355 BC354:BD355 AZ354:BA355 AT354:AX355 BL348:BM349 BI360:BJ361 BF360:BG361 BC360:BD361 AZ360:BA361 AT360:AX361 BL354:BM355 BI366:BJ367 BF366:BG367 BC366:BD367 AZ366:BA367 AT366:AX367 BL360:BM361 BI372:BJ373 BF372:BG373 BC372:BD373 AZ372:BA373 AT372:AX373 BL366:BM367 BI378:BJ379 BF378:BG379 BC378:BD379 AZ378:BA379 AT378:AX379 BL372:BM373 BI384:BJ385 BF384:BG385 BC384:BD385 AZ384:BA385 AT384:AX385 BL378:BM379 BI390:BJ391 BF390:BG391 BC390:BD391 AZ390:BA391 AT390:AX391 BL384:BM385 BI396:BJ397 BF396:BG397 BC396:BD397 AZ396:BA397 AT396:AX397 BL390:BM391 BI402:BJ403 BF402:BG403 BC402:BD403 AZ402:BA403 AT402:AX403 BL396:BM397 BI408:BJ409 BF408:BG409 BC408:BD409 AZ408:BA409 AT408:AX409 BL402:BM403 BI414:BJ415 BF414:BG415 BC414:BD415 AZ414:BA415 AT414:AX415 BL408:BM409 BI420:BJ421 BF420:BG421 BC420:BD421 AZ420:BA421 AT420:AX421 BL414:BM415 BI426:BJ427 BF426:BG427 BC426:BD427 AZ426:BA427 AT426:AX427 BL420:BM421 BI432:BJ433 BF432:BG433 BC432:BD433 AZ432:BA433 AT432:AX433 BL426:BM427 BI438:BJ439 BF438:BG439 BC438:BD439 AZ438:BA439 AT438:AX439 BL432:BM433 BI444:BJ445 BF444:BG445 BC444:BD445 AZ444:BA445 AT444:AX445 BL438:BM439 BI450:BJ451 BF450:BG451 BC450:BD451 AZ450:BA451 AT450:AX451 BL444:BM445 BI456:BJ457 BF456:BG457 BC456:BD457 AZ456:BA457 BL450:BM451 AT456:AX457 BI462:BJ463 BF462:BG463 BC462:BD463 AZ462:BA463 AT462:AX463 BL468:BM469 BI468:BJ469 BF468:BG469 BC468:BD469 AZ468:BA469 AT468:AX469 BL474:BM475 BI474:BJ475 BF474:BG475 BC474:BD475 AZ474:BA475 AT474:AX475 BL480:BM481 BI480:BJ481 BF480:BG481 BC480:BD481 AZ480:BA481 AT480:AX481 BL486:BM487 BI486:BJ487 BF486:BG487 BC486:BD487 AZ486:BA487 AT486:AX487 BL492:BM493 BI492:BJ493 BF492:BG493 BC492:BD493 AZ492:BA493 AT492:AX493 BL498:BM499 BI498:BJ499 BF498:BG499 BC498:BD499 AZ498:BA499 AT498:AX499 BL504:BM505 BI504:BJ505 BF504:BG505 BC504:BD505 AZ504:BA505 AT504:AX505 BL510:BM511 BI510:BJ511 BF510:BG511 BC510:BD511 AZ510:BA511 AT510:AX511 BL516:BM517 BI516:BJ517 BF516:BG517 BC516:BD517 AZ516:BA517 AT516:AX517 BL522:BM523 BI522:BJ523 BF522:BG523 BC522:BD523 AZ522:BA523 AT522:AX523 BL528:BM529 BI528:BJ529 BF528:BG529 BC528:BD529 AZ528:BA529 AT528:AX529 BL534:BM535 BI534:BJ535 BF534:BG535 BC534:BD535 AZ534:BA535 AT534:AX535 BL540:BM541 BI540:BJ541 BF540:BG541 BC540:BD541 AZ540:BA541 AT540:AX541 BL546:BM547 BI546:BJ547 BF546:BG547 BC546:BD547 AZ546:BA547 AT546:AX547 BL552:BM553 BI552:BJ553 BF552:BG553 BC552:BD553 AZ552:BA553 AT552:AX553 BL558:BM559 BI558:BJ559 BF558:BG559 BC558:BD559 AZ558:BA559 AT558:AX559 BL564:BM565 BI564:BJ565 BF564:BG565 BC564:BD565 AZ564:BA565 AT564:AX565 BL570:BM571 BI570:BJ571 BF570:BG571 BC570:BD571 AZ570:BA571 AT570:AX571 BL576:BM577 BI576:BJ577 BF576:BG577 BC576:BD577 AZ576:BA577 AT576:AX577 BL462:BM463 BI582:BJ583 BF582:BG583 BC582:BD583 AZ582:BA583 AT582:AX583 BL696:BM697 BI588:BJ589 BF588:BG589 BC588:BD589 AZ588:BA589 AT588:AX589 BL582:BM583 BI594:BJ595 BF594:BG595 BC594:BD595 AZ594:BA595 AT594:AX595 BL588:BM589 BI600:BJ601 BF600:BG601 BC600:BD601 AZ600:BA601 AT600:AX601 BL594:BM595 BI606:BJ607 BF606:BG607 BC606:BD607 AZ606:BA607 AT606:AX607 BL600:BM601 BI612:BJ613 BF612:BG613 BC612:BD613 AZ612:BA613 AT612:AX613 BL606:BM607 BI618:BJ619 BF618:BG619 BC618:BD619 AZ618:BA619 AT618:AX619 BL612:BM613 BI624:BJ625 BF624:BG625 BC624:BD625 AZ624:BA625 AT624:AX625 BL618:BM619 BI630:BJ631 BF630:BG631 BC630:BD631 AZ630:BA631 AT630:AX631 BL624:BM625 BI636:BJ637 BF636:BG637 BC636:BD637 AZ636:BA637 AT636:AX637 BL630:BM631 BI642:BJ643 BF642:BG643 BC642:BD643 AZ642:BA643 AT642:AX643 BL636:BM637 BI648:BJ649 BF648:BG649 BC648:BD649 AZ648:BA649 AT648:AX649 BL642:BM643 BI654:BJ655 BF654:BG655 BC654:BD655 AZ654:BA655 AT654:AX655 BL648:BM649 BI660:BJ661 BF660:BG661 BC660:BD661 AZ660:BA661 AT660:AX661 BL654:BM655 BI666:BJ667 BF666:BG667 BC666:BD667 AZ666:BA667 AT666:AX667 BL660:BM661 BI672:BJ673 BF672:BG673 BC672:BD673 AZ672:BA673 AT672:AX673 BL666:BM667 BI678:BJ679 BF678:BG679 BC678:BD679 AZ678:BA679 AT678:AX679 BL672:BM673 BI684:BJ685 BF684:BG685 BC684:BD685 AZ684:BA685 AT684:AX685 BL678:BM679 BI690:BJ691 BF690:BG691 BC690:BD691 AZ690:BA691 AT690:AX691 BL684:BM685 BI696:BJ697 BF696:BG697 BC696:BD697 AZ696:BA697 BL690:BM691 AT696:AX697 BI702:BJ703 BF702:BG703 BC702:BD703 AZ702:BA703 AT702:AX703 BL708:BM709 BI708:BJ709 BF708:BG709 BC708:BD709 AZ708:BA709 AT708:AX709 BL714:BM715 BI714:BJ715 BF714:BG715 BC714:BD715 AZ714:BA715 AT714:AX715 BL720:BM721 BI720:BJ721 BF720:BG721 BC720:BD721 AZ720:BA721 AT720:AX721 BL726:BM727 BI726:BJ727 BF726:BG727 BC726:BD727 AZ726:BA727 AT726:AX727 BL732:BM733 BI732:BJ733 BF732:BG733 BC732:BD733 AZ732:BA733 AT732:AX733 BL738:BM739 BI738:BJ739 BF738:BG739 BC738:BD739 AZ738:BA739 AT738:AX739 BL744:BM745 BI744:BJ745 BF744:BG745 BC744:BD745 AZ744:BA745 AT744:AX745 BL750:BM751 BI750:BJ751 BF750:BG751 BC750:BD751 AZ750:BA751 AT750:AX751 BI762:BJ765 BI756:BJ757 BF756:BG757 BC756:BD757 AZ756:BA757 AT756:AX757 BF762:BG765 BC762:BD765 AZ762:BA765 AT762:AX765 BL762:BM765 BI770:BJ773 BF770:BG773 BC770:BD773 AZ770:BA773 AT770:AX773 BL770:BM773 BL826:BM827 BL778:BM779 BI778:BJ779 BF778:BG779 BC778:BD779 AZ778:BA779 AT778:AX779 BL784:BM785 BI784:BJ785 BF784:BG785 BC784:BD785 AZ784:BA785 AT784:AX785 BL790:BM791 BI790:BJ791 BF790:BG791 BC790:BD791 AZ790:BA791 AT790:AX791 BL796:BM797 BI796:BJ797 BF796:BG797 BC796:BD797 AZ796:BA797 AT796:AX797 BL802:BM803 BI802:BJ803 BF802:BG803 BC802:BD803 AZ802:BA803 AT802:AX803 BL808:BM809 BI808:BJ809 BF808:BG809 BC808:BD809 AZ808:BA809 AT808:AX809 BL814:BM815 BI814:BJ815 BF814:BG815 BC814:BD815 AZ814:BA815 AT814:AX815 BL820:BM821 BI820:BJ821 BF820:BG821 BC820:BD821 AZ820:BA821 AT820:AX821 BL756:BM757 BI826:BJ827 BF826:BG827 BC826:BD827 AZ826:BA827 BL702:BM703 AT826:AX827">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AG59:AG60 AG65:AG66 AG71:AG72 AG77:AG78 AG83:AG84 AG89:AG90 AG95:AG96 AG101:AG102 AG107:AG108 AG113:AG114 AG119:AG120 AG125:AG128 AG133:AG134 AG139:AG142 AG53:AG54 AG147:AG150 AG240:AG241 AG162:AG163 AG168:AG169 AG174:AG175 AG180:AG181 AG186:AG187 AG192:AG193 AG198:AG199 AG204:AG205 AG210:AG211 AG216:AG217 AG222:AG223 AG228:AG229 AG234:AG235 AG246:AG247 AG252:AG253 AG258:AG259 AG264:AG265 AG276:AG277 AG282:AG283 AG288:AG289 AG294:AG295 AG300:AG301 AG306:AG307 AG312:AG313 AG318:AG319 AG324:AG325 AG330:AG331 AG336:AG337 AG270:AG271 AG450:AG451 AG342:AG343 AG348:AG349 AG354:AG355 AG360:AG361 AG366:AG367 AG372:AG373 AG378:AG379 AG384:AG385 AG390:AG391 AG396:AG397 AG402:AG403 AG408:AG409 AG414:AG415 AG420:AG421 AG426:AG427 AG432:AG433 AG438:AG439 AG444:AG445 AG456:AG457 AG468:AG469 AG474:AG475 AG480:AG481 AG486:AG487 AG492:AG493 AG498:AG499 AG504:AG505 AG510:AG511 AG516:AG517 AG522:AG523 AG528:AG529 AG534:AG535 AG540:AG541 AG546:AG547 AG552:AG553 AG558:AG559 AG564:AG565 AG570:AG571 AG576:AG577 AG462:AG463 AG690:AG691 AG582:AG583 AG588:AG589 AG594:AG595 AG600:AG601 AG606:AG607 AG612:AG613 AG618:AG619 AG624:AG625 AG630:AG631 AG636:AG637 AG642:AG643 AG648:AG649 AG654:AG655 AG660:AG661 AG666:AG667 AG672:AG673 AG678:AG679 AG684:AG685 AG696:AG697 AG708:AG709 AG714:AG715 AG720:AG721 AG726:AG727 AG732:AG733 AG738:AG739 AG744:AG745 AG750:AG751 AG762:AG765 AG770:AG773 AG702:AG703 AG778:AG779 AG784:AG785 AG790:AG791 AG796:AG797 AG802:AG803 AG808:AG809 AG814:AG815 AG820:AG821 AG756:AG757 AG826:AG827">
      <formula1>ist_fin_list</formula1>
    </dataValidation>
    <dataValidation type="decimal" allowBlank="1" showInputMessage="1" showErrorMessage="1" error="Введите действительное число от 0 до 100!" sqref="N52:O52 N58:O58 N64:O64 N70:O70 N76:O76 N82:O82 N88:O88 N94:O94 N100:O100 N106:O106 N112:O112 N118:O118 N124:O124 N132:O132 N138:O138 N146:O146 M51:M152 N161:O161 N167:O167 N173:O173 N179:O179 N185:O185 N191:O191 N197:O197 N203:O203 N209:O209 N215:O215 N221:O221 N227:O227 N233:O233 N239:O239 N245:O245 N251:O251 N257:O257 N263:O263 N269:O269 N275:O275 N281:O281 N287:O287 N293:O293 N299:O299 N305:O305 N311:O311 N317:O317 N323:O323 N329:O329 N335:O335 N341:O341 N347:O347 N353:O353 N359:O359 N365:O365 N371:O371 N377:O377 N383:O383 N389:O389 N395:O395 N401:O401 N407:O407 N413:O413 N419:O419 N425:O425 N431:O431 N437:O437 N443:O443 N449:O449 N455:O455 N461:O461 N467:O467 N473:O473 N479:O479 N485:O485 N491:O491 N497:O497 N503:O503 N509:O509 N515:O515 N521:O521 N527:O527 N533:O533 N539:O539 N545:O545 N551:O551 N557:O557 N563:O563 N569:O569 N575:O575 N581:O581 N587:O587 N593:O593 N599:O599 N605:O605 N611:O611 N617:O617 N623:O623 N629:O629 N635:O635 N641:O641 N647:O647 N653:O653 N659:O659 N665:O665 N671:O671 N677:O677 N683:O683 N689:O689 N695:O695 N701:O701 N707:O707 N713:O713 N719:O719 N725:O725 N731:O731 N737:O737 N743:O743 N749:O749 N755:O755 N761:O761 N769:O769 N777:O777 N783:O783 N789:O789 N795:O795 N801:O801 N807:O807 N813:O813 N819:O819 N825:O825 M160:M829">
      <formula1>0</formula1>
      <formula2>100</formula2>
    </dataValidation>
    <dataValidation type="list" allowBlank="1" showInputMessage="1" showErrorMessage="1" errorTitle="Ошибка" error="Выберите значение из списка" prompt="Выберите значение из списка" sqref="AH53:AH54 AP59:AP60 AH59:AH60 AP65:AP66 AH65:AH66 AP71:AP72 AH71:AH72 AP77:AP78 AH77:AH78 AP83:AP84 AH83:AH84 AP89:AP90 AH89:AH90 AP95:AP96 AH95:AH96 AP101:AP102 AH101:AH102 AP107:AP108 AH107:AH108 AP113:AP114 AH113:AH114 AP119:AP120 AH119:AH120 AP125:AP128 AP147:AP150 AP133:AP134 AH133:AH134 AP139:AP142 AH139:AH142 AP53:AP54 AH125:AH128 AH147:AH150 AH162:AH163 AP246:AP247 AH168:AH169 AP162:AP163 AH174:AH175 AP168:AP169 AH180:AH181 AP174:AP175 AH186:AH187 AP180:AP181 AH192:AH193 AP186:AP187 AH198:AH199 AP192:AP193 AH204:AH205 AP198:AP199 AP204:AP205 AH210:AH211 AH216:AH217 AP210:AP211 AH222:AH223 AP216:AP217 AH228:AH229 AP222:AP223 AH234:AH235 AP228:AP229 AP234:AP235 AH240:AH241 AP240:AP241 AH246:AH247 AH252:AH253 AP252:AP253 AH258:AH259 AP258:AP259 AH264:AH265 AP264:AP265 AH270:AH271 AP276:AP277 AH276:AH277 AP282:AP283 AH282:AH283 AP288:AP289 AH288:AH289 AP294:AP295 AH294:AH295 AP300:AP301 AH300:AH301 AP306:AP307 AH306:AH307 AP312:AP313 AH312:AH313 AP318:AP319 AH318:AH319 AP324:AP325 AH324:AH325 AP330:AP331 AH330:AH331 AP336:AP337 AH336:AH337 AP270:AP271 AH342:AH343 AP456:AP457 AH348:AH349 AP342:AP343 AH354:AH355 AP348:AP349 AH360:AH361 AP354:AP355 AH366:AH367 AP360:AP361 AH372:AH373 AP366:AP367 AH378:AH379 AP372:AP373 AH384:AH385 AP378:AP379 AH390:AH391 AP384:AP385 AH396:AH397 AP390:AP391 AH402:AH403 AP396:AP397 AH408:AH409 AP402:AP403 AH414:AH415 AP408:AP409 AH420:AH421 AP414:AP415 AH426:AH427 AP420:AP421 AH432:AH433 AP426:AP427 AH438:AH439 AP432:AP433 AH444:AH445 AP438:AP439 AH450:AH451 AP444:AP445 AP450:AP451 AH456:AH457 AH462:AH463 AP468:AP469 AH468:AH469 AP474:AP475 AH474:AH475 AP480:AP481 AH480:AH481 AP486:AP487 AH486:AH487 AP492:AP493 AH492:AH493 AP498:AP499 AH498:AH499 AP504:AP505 AH504:AH505 AP510:AP511 AH510:AH511 AP516:AP517 AH516:AH517 AP522:AP523 AH522:AH523 AP528:AP529 AH528:AH529 AP534:AP535 AH534:AH535 AP540:AP541 AH540:AH541 AP546:AP547 AH546:AH547 AP552:AP553 AH552:AH553 AP558:AP559 AH558:AH559 AP564:AP565 AH564:AH565 AP570:AP571 AH570:AH571 AP576:AP577 AH576:AH577 AP462:AP463 AH582:AH583 AP696:AP697 AH588:AH589 AP582:AP583 AH594:AH595 AP588:AP589 AH600:AH601 AP594:AP595 AH606:AH607 AP600:AP601 AH612:AH613 AP606:AP607 AH618:AH619 AP612:AP613 AH624:AH625 AP618:AP619 AH630:AH631 AP624:AP625 AH636:AH637 AP630:AP631 AH642:AH643 AP636:AP637 AH648:AH649 AP642:AP643 AH654:AH655 AP648:AP649 AH660:AH661 AP654:AP655 AH666:AH667 AP660:AP661 AH672:AH673 AP666:AP667 AH678:AH679 AP672:AP673 AH684:AH685 AP678:AP679 AH690:AH691 AP684:AP685 AP690:AP691 AH696:AH697 AH702:AH703 AP708:AP709 AH708:AH709 AP714:AP715 AH714:AH715 AP720:AP721 AH720:AH721 AP726:AP727 AH726:AH727 AP732:AP733 AH732:AH733 AP738:AP739 AH738:AH739 AP744:AP745 AH744:AH745 AP750:AP751 AH750:AH751 AH762:AH765 AH756:AH757 AP762:AP765 AH770:AH773 AP770:AP773 AP826:AP827 AP778:AP779 AH778:AH779 AP784:AP785 AH784:AH785 AP790:AP791 AH790:AH791 AP796:AP797 AH796:AH797 AP802:AP803 AH802:AH803 AP808:AP809 AH808:AH809 AP814:AP815 AH814:AH815 AP820:AP821 AH820:AH821 AP756:AP757 AP702:AP703 AH826:AH827">
      <formula1>logical</formula1>
    </dataValidation>
    <dataValidation type="textLength" operator="lessThanOrEqual" allowBlank="1" showInputMessage="1" showErrorMessage="1" errorTitle="Ошибка" error="Допускается ввод не более 900 символов!" sqref="G55 AI53:AO54 G60:J60 G61 AI59:AO60 G66:J66 G67 AI65:AO66 G72:J72 G73 AI71:AO72 G78:J78 G79 AI77:AO78 G84:J84 G85 AI83:AO84 G90:J90 G91 AI89:AO90 G96:J96 G97 AI95:AO96 G102:J102 G103 AI101:AO102 G108:J108 G109 AI107:AO108 G114:J114 G115 AI113:AO114 AE119:AF120 G121 G120:J120 AE125:AF128 G129 G126:J128 AE133:AF134 G135 G134:J134 AE139:AF142 G143 G140:J142 G137:G139 AI139:AO142 G131:G133 AI133:AO134 G123:G125 G148:J150 G117:G119 AI119:AO120 G111:G113 AE113:AF114 G105:G107 AE107:AF108 G99:G101 AE101:AF102 G93:G95 AE95:AF96 G87:G89 AE89:AF90 G81:G83 AE83:AF84 G75:G77 AE77:AF78 G69:G71 AE71:AF72 G63:G65 AE65:AF66 G57:G59 AE59:AF60 G51:G53 AE53:AF54 G54:J54 G151 AI125:AO128 G145:G147 AE147:AF150 AI147:AO150 G164 AI162:AO163 AE246:AF247 G170 AI168:AO169 G163:J163 G176 AI174:AO175 G169:J169 G182 AI180:AO181 G175:J175 G188 AI186:AO187 G181:J181 G194 AI192:AO193 G187:J187 G200 AI198:AO199 G193:J193 G206 AI204:AO205 G199:J199 G205:J205 G212 AI210:AO211 G218 AI216:AO217 G211:J211 G224 AI222:AO223 G217:J217 G230 AI228:AO229 G223:J223 G236 AI234:AO235 G229:J229 G235:J235 G242 AI240:AO241 G248 G241:J241 G160:G162 AE162:AF163 G166:G168 AE168:AF169 G172:G174 AE174:AF175 G178:G180 AE180:AF181 G184:G186 AE186:AF187 G190:G192 AE192:AF193 G196:G198 AE198:AF199 G202:G204 AE204:AF205 G208:G210 AE210:AF211 G214:G216 AE216:AF217 G220:G222 AE222:AF223 G226:G228 AE228:AF229 G232:G234 AE234:AF235 G238:G240 AE240:AF241 G244:G246 AI246:AO247 G247:J247 G254 AI252:AO253 G250:G252 AE252:AF253 G253:J253 G260 AI258:AO259 G256:G258 AE258:AF259 G259:J259 G266 AI264:AO265 G262:G264 AE264:AF265 G265:J265 G272 AI270:AO271 G277:J277 G278 AI276:AO277 G283:J283 G284 AI282:AO283 G289:J289 G290 AI288:AO289 G295:J295 G296 AI294:AO295 G301:J301 G302 AI300:AO301 G307:J307 G308 AI306:AO307 G313:J313 G314 AI312:AO313 G319:J319 G320 AI318:AO319 G325:J325 G326 AI324:AO325 G331:J331 G332 AI330:AO331 G337:J337 G338 AI336:AO337 G334:G336 AE336:AF337 G328:G330 AE330:AF331 G322:G324 AE324:AF325 G316:G318 AE318:AF319 G310:G312 AE312:AF313 G304:G306 AE306:AF307 G298:G300 AE300:AF301 G292:G294 AE294:AF295 G286:G288 AE288:AF289 G280:G282 AE282:AF283 G274:G276 AE276:AF277 G268:G270 AE270:AF271 G271:J271 G344 AI342:AO343 AE456:AF457 G350 AI348:AO349 G343:J343 G356 AI354:AO355 G349:J349 G362 AI360:AO361 G355:J355 G368 AI366:AO367 G361:J361 G374 AI372:AO373 G367:J367 G380 AI378:AO379 G373:J373 G386 AI384:AO385 G379:J379 G392 AI390:AO391 G385:J385 G398 AI396:AO397 G391:J391 G404 AI402:AO403 G397:J397 G410 AI408:AO409 G403:J403 G416 AI414:AO415 G409:J409 G422 AI420:AO421 G415:J415 G428 AI426:AO427 G421:J421 G434 AI432:AO433 G427:J427 G440 AI438:AO439 G433:J433 G446 AI444:AO445 G439:J439 G452 AI450:AO451 G445:J445 G458 G451:J451 G340:G342 AE342:AF343 G346:G348 AE348:AF349 G352:G354 AE354:AF355 G358:G360 AE360:AF361 G364:G366 AE366:AF367 G370:G372 AE372:AF373 G376:G378 AE378:AF379 G382:G384 AE384:AF385 G388:G390 AE390:AF391 G394:G396 AE396:AF397 G400:G402 AE402:AF403 G406:G408 AE408:AF409 G412:G414 AE414:AF415 G418:G420 AE420:AF421 G424:G426 AE426:AF427 G430:G432 AE432:AF433 G436:G438 AE438:AF439 G442:G444 AE444:AF445 G448:G450 AE450:AF451 G454:G456 AI456:AO457 G457:J457 G464 AI462:AO463 G469:J469 G470 AI468:AO469 G475:J475 G476 AI474:AO475 G481:J481 G482 AI480:AO481 G487:J487 G488 AI486:AO487 G493:J493 G494 AI492:AO493 G499:J499 G500 AI498:AO499 G505:J505 G506 AI504:AO505 G511:J511 G512 AI510:AO511 G517:J517 G518 AI516:AO517 G523:J523 G524 AI522:AO523 G529:J529 G530 AI528:AO529 G535:J535 G536 AI534:AO535 G541:J541 G542 AI540:AO541 G547:J547 G548 AI546:AO547 G553:J553 G554 AI552:AO553 G559:J559 G560 AI558:AO559 G565:J565 G566 AI564:AO565 G571:J571 G572 AI570:AO571 G577:J577 G578 AI576:AO577 G574:G576 AE576:AF577 G568:G570 AE570:AF571 G562:G564 AE564:AF565 G556:G558 AE558:AF559 G550:G552 AE552:AF553 G544:G546 AE546:AF547 G538:G540 AE540:AF541 G532:G534 AE534:AF535 G526:G528 AE528:AF529 G520:G522 AE522:AF523 G514:G516 AE516:AF517 G508:G510 AE510:AF511 G502:G504 AE504:AF505 G496:G498 AE498:AF499 G490:G492 AE492:AF493 G484:G486 AE486:AF487 G478:G480 AE480:AF481 G472:G474 AE474:AF475 G466:G468 AE468:AF469 G460:G462 AE462:AF463 G463:J463 G584 AI582:AO583 AE696:AF697 G590 AI588:AO589 G583:J583 G596 AI594:AO595 G589:J589 G602 AI600:AO601 G595:J595 G608 AI606:AO607 G601:J601 G614 AI612:AO613 G607:J607 G620 AI618:AO619 G613:J613 G626 AI624:AO625 G619:J619 G632 AI630:AO631 G625:J625 G638 AI636:AO637 G631:J631 G644 AI642:AO643 G637:J637 G650 AI648:AO649 G643:J643 G656 AI654:AO655 G649:J649 G662 AI660:AO661 G655:J655 G668 AI666:AO667 G661:J661 G674 AI672:AO673 G667:J667 G680 AI678:AO679 G673:J673 G686 AI684:AO685 G679:J679 G692 AI690:AO691 G685:J685 G698 G691:J691 G580:G582 AE582:AF583 G586:G588 AE588:AF589 G592:G594 AE594:AF595 G598:G600 AE600:AF601 G604:G606 AE606:AF607 G610:G612 AE612:AF613 G616:G618 AE618:AF619 G622:G624 AE624:AF625 G628:G630 AE630:AF631 G634:G636 AE636:AF637 G640:G642 AE642:AF643 G646:G648 AE648:AF649 G652:G654 AE654:AF655 G658:G660 AE660:AF661 G664:G666 AE666:AF667 G670:G672 AE672:AF673 G676:G678 AE678:AF679 G682:G684 AE684:AF685 G688:G690 AE690:AF691 G694:G696 AI696:AO697 G697:J697 G704 AI702:AO703 G709:J709 G710 AI708:AO709 G715:J715 G716 AI714:AO715 G721:J721 G722 AI720:AO721 G727:J727 G728 AI726:AO727 G733:J733 G734 AI732:AO733 G739:J739 G740 AI738:AO739 G745:J745 G746 AI744:AO745 G751:J751 G752 AI750:AO751 AI762:AO765 G758 AI756:AO757 AE762:AF765 G766 G763:J765 AE770:AF773 G774 G771:J773 G779:J779 G780 AI778:AO779 G785:J785 G786 AI784:AO785 G791:J791 G792 AI790:AO791 G797:J797 G798 AI796:AO797 G803:J803 G804 AI802:AO803 G809:J809 G810 AI808:AO809 G815:J815 G816 AI814:AO815 G821:J821 G822 AI820:AO821 G818:G820 AE820:AF821 G812:G814 AE814:AF815 G806:G808 AE808:AF809 G800:G802 AE802:AF803 G794:G796 AE796:AF797 G788:G790 AE790:AF791 G782:G784 AE784:AF785 G776:G778 AE778:AF779 G768:G770 AE826:AF827 G760:G762 AI770:AO773 G754:G756 AE756:AF757 G757:J757 G828 G703:J703 G748:G750 AE750:AF751 G742:G744 AE744:AF745 G736:G738 AE738:AF739 G730:G732 AE732:AF733 G724:G726 AE726:AF727 G718:G720 AE720:AF721 G712:G714 AE714:AF715 G706:G708 AE708:AF709 G700:G702 AE702:AF703 G824:G826 AI826:AO827 G827:J827">
      <formula1>900</formula1>
    </dataValidation>
    <dataValidation type="list" allowBlank="1" showInputMessage="1" showErrorMessage="1" errorTitle="Ошибка" error="Выберите значение из списка" prompt="Выберите значение из списка" sqref="E51:E152 E160:E829">
      <formula1>group_list</formula1>
    </dataValidation>
    <dataValidation type="list" allowBlank="1" showInputMessage="1" showErrorMessage="1" errorTitle="Ошибка" error="Выберите значение из списка" prompt="Выберите значение из списка" sqref="L51:L152 L160:L829">
      <formula1>all_year_list</formula1>
    </dataValidation>
    <dataValidation type="whole" allowBlank="1" showErrorMessage="1" errorTitle="Ошибка" error="Допускается ввод только неотрицательных целых чисел!" sqref="K51:K152 K160:K829">
      <formula1>0</formula1>
      <formula2>9.99999999999999E+23</formula2>
    </dataValidation>
    <dataValidation type="list" showInputMessage="1" showErrorMessage="1" errorTitle="Внимание" error="Выберите значение из списка!" sqref="F51 F145 F137 F131 F123 F117 F111 F105 F99 F93 F87 F81 F75 F69 F63 F57 F334 F328 F322 F316 F310 F304 F298 F292 F286 F280 F274 F268 F454 F448 F442 F436 F430 F424 F418 F412 F406 F400 F394 F388 F382 F376 F370 F364 F358 F352 F346 F340 F460 F574 F568 F562 F556 F550 F544 F538 F532 F526 F520 F514 F508 F502 F496 F490 F484 F478 F472 F466 F694 F688 F682 F676 F670 F664 F658 F652 F646 F640 F634 F628 F622 F616 F610 F604 F598 F592 F586 F580 F818 F812 F806 F800 F794 F788 F782 F776 F768 F760 F754 F748 F742 F736 F730 F724 F718 F712 F706 F700">
      <formula1>podgroup_3_list</formula1>
    </dataValidation>
    <dataValidation type="list" showInputMessage="1" showErrorMessage="1" errorTitle="Внимание" error="Выберите значение из списка!" sqref="F160 F202 F196 F190 F184 F178 F172 F166 F232 F226 F220 F214 F208 F256 F250 F244 F238">
      <formula1>podgroup_1_list</formula1>
    </dataValidation>
  </dataValidations>
  <printOptions horizontalCentered="1" verticalCentered="1"/>
  <pageMargins left="0" right="0" top="0" bottom="0" header="0" footer="0.78740157480314965"/>
  <pageSetup paperSize="9" scale="39" fitToHeight="0"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com">
    <tabColor theme="3" tint="0.39997558519241921"/>
    <pageSetUpPr fitToPage="1"/>
  </sheetPr>
  <dimension ref="A1:BY12"/>
  <sheetViews>
    <sheetView showGridLines="0" topLeftCell="C4" zoomScaleNormal="100" workbookViewId="0">
      <selection activeCell="E16" sqref="E16"/>
    </sheetView>
  </sheetViews>
  <sheetFormatPr defaultColWidth="9.140625" defaultRowHeight="14.25"/>
  <cols>
    <col min="1" max="2" width="9.140625" style="12" hidden="1" customWidth="1"/>
    <col min="3" max="3" width="5.28515625" style="174" customWidth="1"/>
    <col min="4" max="4" width="6.28515625" style="12" bestFit="1" customWidth="1"/>
    <col min="5" max="5" width="94.85546875" style="12" customWidth="1"/>
    <col min="6" max="16384" width="9.140625" style="12"/>
  </cols>
  <sheetData>
    <row r="1" spans="3:77" hidden="1">
      <c r="I1" s="323"/>
      <c r="J1" s="323"/>
      <c r="K1" s="323"/>
    </row>
    <row r="2" spans="3:77" hidden="1"/>
    <row r="3" spans="3:77" hidden="1">
      <c r="D3" s="187"/>
      <c r="E3" s="187"/>
    </row>
    <row r="4" spans="3:77" s="177" customFormat="1" ht="12" customHeight="1">
      <c r="C4" s="178"/>
      <c r="D4" s="179" t="s">
        <v>126</v>
      </c>
      <c r="E4" s="179"/>
    </row>
    <row r="5" spans="3:77" s="177" customFormat="1" ht="12" customHeight="1">
      <c r="C5" s="178"/>
      <c r="D5" s="186" t="str">
        <f>region_name &amp; " " &amp; org</f>
        <v>Челябинская область АО "УСТЭК-Челябинск"</v>
      </c>
      <c r="E5" s="186"/>
    </row>
    <row r="6" spans="3:77" s="177" customFormat="1" ht="12" customHeight="1">
      <c r="C6" s="178"/>
      <c r="D6" s="188"/>
      <c r="E6" s="188"/>
    </row>
    <row r="7" spans="3:77" s="177" customFormat="1" ht="15" customHeight="1">
      <c r="C7" s="178"/>
      <c r="D7" s="189" t="s">
        <v>36</v>
      </c>
      <c r="E7" s="190" t="s">
        <v>287</v>
      </c>
    </row>
    <row r="8" spans="3:77" ht="15" hidden="1" customHeight="1">
      <c r="C8" s="175"/>
      <c r="D8" s="191">
        <v>0</v>
      </c>
      <c r="E8" s="176"/>
    </row>
    <row r="9" spans="3:77" ht="30" customHeight="1">
      <c r="C9" s="324" t="s">
        <v>1240</v>
      </c>
      <c r="D9" s="184">
        <v>1</v>
      </c>
      <c r="E9" s="185" t="s">
        <v>1466</v>
      </c>
      <c r="BO9" s="254"/>
      <c r="BP9" s="254"/>
      <c r="BQ9" s="254"/>
      <c r="BR9" s="254"/>
      <c r="BS9" s="254"/>
      <c r="BT9" s="254"/>
      <c r="BU9" s="254"/>
      <c r="BY9" s="254"/>
    </row>
    <row r="10" spans="3:77" ht="49.5" customHeight="1">
      <c r="C10" s="324" t="s">
        <v>1240</v>
      </c>
      <c r="D10" s="184">
        <v>2</v>
      </c>
      <c r="E10" s="185" t="s">
        <v>1464</v>
      </c>
      <c r="BO10" s="254"/>
      <c r="BP10" s="254"/>
      <c r="BQ10" s="254"/>
      <c r="BR10" s="254"/>
      <c r="BS10" s="254"/>
      <c r="BT10" s="254"/>
      <c r="BU10" s="254"/>
      <c r="BY10" s="254"/>
    </row>
    <row r="11" spans="3:77" ht="39.75" customHeight="1">
      <c r="C11" s="324" t="s">
        <v>1240</v>
      </c>
      <c r="D11" s="184">
        <v>3</v>
      </c>
      <c r="E11" s="185" t="s">
        <v>1465</v>
      </c>
      <c r="BO11" s="254"/>
      <c r="BP11" s="254"/>
      <c r="BQ11" s="254"/>
      <c r="BR11" s="254"/>
      <c r="BS11" s="254"/>
      <c r="BT11" s="254"/>
      <c r="BU11" s="254"/>
      <c r="BY11" s="254"/>
    </row>
    <row r="12" spans="3:77" ht="15" customHeight="1">
      <c r="C12" s="175"/>
      <c r="D12" s="148"/>
      <c r="E12" s="202" t="s">
        <v>168</v>
      </c>
    </row>
  </sheetData>
  <sheetProtection algorithmName="SHA-512" hashValue="lrAw99EaOwTxqFCCCA+umXuGy30N9Kbd6JfyFLc2TfKVVtj2wt5XF+gzvXaUPyfMorjQaEYLlhu2t3zfsmVu5g==" saltValue="xfA7g3q25o53ErovmP1Isg==" spinCount="100000" sheet="1" objects="1" scenarios="1" formatColumns="0" formatRows="0" autoFilter="0"/>
  <dataValidations count="1">
    <dataValidation type="textLength" operator="lessThanOrEqual" allowBlank="1" showInputMessage="1" showErrorMessage="1" errorTitle="Ошибка" error="Допускается ввод не более 900 символов!" sqref="E8:E11">
      <formula1>900</formula1>
    </dataValidation>
  </dataValidations>
  <pageMargins left="0.75" right="0.75" top="1" bottom="1" header="0.5" footer="0.5"/>
  <pageSetup paperSize="9" scale="7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Prov">
    <tabColor indexed="31"/>
  </sheetPr>
  <dimension ref="B2:D5"/>
  <sheetViews>
    <sheetView showGridLines="0" showRowColHeaders="0" workbookViewId="0">
      <pane ySplit="2" topLeftCell="A3" activePane="bottomLeft" state="frozen"/>
      <selection pane="bottomLeft"/>
    </sheetView>
  </sheetViews>
  <sheetFormatPr defaultColWidth="9.140625" defaultRowHeight="11.25"/>
  <cols>
    <col min="1" max="1" width="4.7109375" style="14" customWidth="1"/>
    <col min="2" max="2" width="27.28515625" style="14" customWidth="1"/>
    <col min="3" max="3" width="103.28515625" style="14" customWidth="1"/>
    <col min="4" max="4" width="17.7109375" style="14" customWidth="1"/>
    <col min="5" max="16384" width="9.140625" style="14"/>
  </cols>
  <sheetData>
    <row r="2" spans="2:4" ht="20.100000000000001" customHeight="1">
      <c r="B2" s="423" t="s">
        <v>127</v>
      </c>
      <c r="C2" s="423"/>
      <c r="D2" s="423"/>
    </row>
    <row r="4" spans="2:4" ht="21.75" customHeight="1" thickBot="1">
      <c r="B4" s="117" t="s">
        <v>34</v>
      </c>
      <c r="C4" s="117" t="s">
        <v>35</v>
      </c>
      <c r="D4" s="117" t="s">
        <v>144</v>
      </c>
    </row>
    <row r="5" spans="2:4" ht="12" thickTop="1"/>
  </sheetData>
  <sheetProtection password="FA9C" sheet="1" objects="1" scenarios="1" formatColumns="0" formatRows="0" autoFilter="0"/>
  <autoFilter ref="B4:D4"/>
  <mergeCells count="1">
    <mergeCell ref="B2:D2"/>
  </mergeCells>
  <phoneticPr fontId="1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287"/>
  <sheetViews>
    <sheetView showGridLines="0" showRowColHeaders="0" zoomScaleNormal="100" workbookViewId="0">
      <selection activeCell="I25" sqref="I25"/>
    </sheetView>
  </sheetViews>
  <sheetFormatPr defaultColWidth="9.140625" defaultRowHeight="11.25"/>
  <cols>
    <col min="1" max="1" width="36.28515625" style="2" customWidth="1"/>
    <col min="2" max="2" width="21.140625" style="2" bestFit="1" customWidth="1"/>
    <col min="3" max="16384" width="9.140625" style="1"/>
  </cols>
  <sheetData>
    <row r="1" spans="1:2">
      <c r="A1" s="274" t="s">
        <v>128</v>
      </c>
      <c r="B1" s="274" t="s">
        <v>129</v>
      </c>
    </row>
    <row r="2" spans="1:2">
      <c r="A2" t="s">
        <v>130</v>
      </c>
      <c r="B2" t="s">
        <v>133</v>
      </c>
    </row>
    <row r="3" spans="1:2">
      <c r="A3" t="s">
        <v>146</v>
      </c>
      <c r="B3" t="s">
        <v>131</v>
      </c>
    </row>
    <row r="4" spans="1:2">
      <c r="A4" t="s">
        <v>132</v>
      </c>
      <c r="B4" t="s">
        <v>26</v>
      </c>
    </row>
    <row r="5" spans="1:2">
      <c r="A5" t="s">
        <v>321</v>
      </c>
      <c r="B5" t="s">
        <v>276</v>
      </c>
    </row>
    <row r="6" spans="1:2">
      <c r="A6" t="s">
        <v>14</v>
      </c>
      <c r="B6" t="s">
        <v>277</v>
      </c>
    </row>
    <row r="7" spans="1:2">
      <c r="A7" t="s">
        <v>126</v>
      </c>
      <c r="B7" t="s">
        <v>329</v>
      </c>
    </row>
    <row r="8" spans="1:2">
      <c r="A8" t="s">
        <v>134</v>
      </c>
      <c r="B8" t="s">
        <v>303</v>
      </c>
    </row>
    <row r="9" spans="1:2">
      <c r="A9"/>
      <c r="B9" t="s">
        <v>136</v>
      </c>
    </row>
    <row r="10" spans="1:2">
      <c r="A10"/>
      <c r="B10" t="s">
        <v>167</v>
      </c>
    </row>
    <row r="11" spans="1:2">
      <c r="A11"/>
      <c r="B11" t="s">
        <v>322</v>
      </c>
    </row>
    <row r="12" spans="1:2">
      <c r="A12"/>
      <c r="B12" t="s">
        <v>147</v>
      </c>
    </row>
    <row r="13" spans="1:2">
      <c r="A13"/>
      <c r="B13" t="s">
        <v>137</v>
      </c>
    </row>
    <row r="14" spans="1:2">
      <c r="A14"/>
      <c r="B14" t="s">
        <v>213</v>
      </c>
    </row>
    <row r="15" spans="1:2">
      <c r="A15"/>
      <c r="B15" t="s">
        <v>148</v>
      </c>
    </row>
    <row r="16" spans="1:2">
      <c r="A16"/>
      <c r="B16" t="s">
        <v>214</v>
      </c>
    </row>
    <row r="17" spans="1:2">
      <c r="A17"/>
      <c r="B17" t="s">
        <v>275</v>
      </c>
    </row>
    <row r="18" spans="1:2">
      <c r="A18"/>
      <c r="B18" t="s">
        <v>27</v>
      </c>
    </row>
    <row r="19" spans="1:2">
      <c r="A19"/>
      <c r="B19" t="s">
        <v>135</v>
      </c>
    </row>
    <row r="20" spans="1:2">
      <c r="A20"/>
      <c r="B20" t="s">
        <v>323</v>
      </c>
    </row>
    <row r="21" spans="1:2">
      <c r="A21"/>
      <c r="B21" t="s">
        <v>389</v>
      </c>
    </row>
    <row r="22" spans="1:2">
      <c r="A22"/>
      <c r="B22" t="s">
        <v>360</v>
      </c>
    </row>
    <row r="23" spans="1:2">
      <c r="A23"/>
      <c r="B23" t="s">
        <v>378</v>
      </c>
    </row>
    <row r="24" spans="1:2">
      <c r="A24"/>
      <c r="B24" t="s">
        <v>330</v>
      </c>
    </row>
    <row r="25" spans="1:2">
      <c r="A25"/>
      <c r="B25" t="s">
        <v>361</v>
      </c>
    </row>
    <row r="26" spans="1:2">
      <c r="A26"/>
      <c r="B26" t="s">
        <v>145</v>
      </c>
    </row>
    <row r="27" spans="1:2">
      <c r="A27"/>
      <c r="B27" t="s">
        <v>362</v>
      </c>
    </row>
    <row r="28" spans="1:2">
      <c r="A28"/>
      <c r="B28" t="s">
        <v>363</v>
      </c>
    </row>
    <row r="29" spans="1:2">
      <c r="A29"/>
      <c r="B29"/>
    </row>
    <row r="30" spans="1:2">
      <c r="A30"/>
      <c r="B30"/>
    </row>
    <row r="31" spans="1:2">
      <c r="A31"/>
      <c r="B31"/>
    </row>
    <row r="32" spans="1:2">
      <c r="A32"/>
      <c r="B32"/>
    </row>
    <row r="33" spans="1:2">
      <c r="A33"/>
      <c r="B33"/>
    </row>
    <row r="34" spans="1:2">
      <c r="A34"/>
      <c r="B34"/>
    </row>
    <row r="35" spans="1:2">
      <c r="A35"/>
      <c r="B35"/>
    </row>
    <row r="36" spans="1:2">
      <c r="A36"/>
      <c r="B36"/>
    </row>
    <row r="37" spans="1:2">
      <c r="A37"/>
      <c r="B37"/>
    </row>
    <row r="38" spans="1:2">
      <c r="A38"/>
      <c r="B38"/>
    </row>
    <row r="39" spans="1:2">
      <c r="A39"/>
      <c r="B39"/>
    </row>
    <row r="40" spans="1:2">
      <c r="A40"/>
      <c r="B40"/>
    </row>
    <row r="41" spans="1:2">
      <c r="A41"/>
      <c r="B41"/>
    </row>
    <row r="42" spans="1:2">
      <c r="A42"/>
      <c r="B42"/>
    </row>
    <row r="43" spans="1:2">
      <c r="A43"/>
      <c r="B43"/>
    </row>
    <row r="44" spans="1:2">
      <c r="A44"/>
      <c r="B44"/>
    </row>
    <row r="45" spans="1:2">
      <c r="A45"/>
      <c r="B45"/>
    </row>
    <row r="46" spans="1:2">
      <c r="A46"/>
      <c r="B46"/>
    </row>
    <row r="47" spans="1:2">
      <c r="A47"/>
      <c r="B47"/>
    </row>
    <row r="48" spans="1:2">
      <c r="A48"/>
      <c r="B48"/>
    </row>
    <row r="49" spans="1:2">
      <c r="A49"/>
      <c r="B49"/>
    </row>
    <row r="50" spans="1:2">
      <c r="A50"/>
      <c r="B50"/>
    </row>
    <row r="51" spans="1:2">
      <c r="A51"/>
      <c r="B51"/>
    </row>
    <row r="52" spans="1:2">
      <c r="A52"/>
      <c r="B52"/>
    </row>
    <row r="53" spans="1:2">
      <c r="A53"/>
      <c r="B53"/>
    </row>
    <row r="54" spans="1:2">
      <c r="A54"/>
      <c r="B54"/>
    </row>
    <row r="55" spans="1:2">
      <c r="A55"/>
      <c r="B55"/>
    </row>
    <row r="56" spans="1:2">
      <c r="A56"/>
      <c r="B56"/>
    </row>
    <row r="57" spans="1:2">
      <c r="A57"/>
      <c r="B57"/>
    </row>
    <row r="58" spans="1:2">
      <c r="A58"/>
      <c r="B58"/>
    </row>
    <row r="59" spans="1:2">
      <c r="A59"/>
      <c r="B59"/>
    </row>
    <row r="60" spans="1:2">
      <c r="A60"/>
      <c r="B60"/>
    </row>
    <row r="61" spans="1:2">
      <c r="A61"/>
      <c r="B61"/>
    </row>
    <row r="62" spans="1:2">
      <c r="A62"/>
      <c r="B62"/>
    </row>
    <row r="63" spans="1:2">
      <c r="A63"/>
      <c r="B63"/>
    </row>
    <row r="64" spans="1:2">
      <c r="A64"/>
      <c r="B64"/>
    </row>
    <row r="65" spans="1:2">
      <c r="A65"/>
      <c r="B65"/>
    </row>
    <row r="66" spans="1:2">
      <c r="A66"/>
      <c r="B66"/>
    </row>
    <row r="67" spans="1:2">
      <c r="A67"/>
      <c r="B67"/>
    </row>
    <row r="68" spans="1:2">
      <c r="A68"/>
      <c r="B68"/>
    </row>
    <row r="69" spans="1:2">
      <c r="A69"/>
      <c r="B69"/>
    </row>
    <row r="70" spans="1:2">
      <c r="A70"/>
      <c r="B70"/>
    </row>
    <row r="71" spans="1:2">
      <c r="A71"/>
      <c r="B71"/>
    </row>
    <row r="72" spans="1:2">
      <c r="A72"/>
      <c r="B72"/>
    </row>
    <row r="73" spans="1:2">
      <c r="A73"/>
      <c r="B73"/>
    </row>
    <row r="74" spans="1:2">
      <c r="A74"/>
      <c r="B74"/>
    </row>
    <row r="75" spans="1:2">
      <c r="A75"/>
      <c r="B75"/>
    </row>
    <row r="76" spans="1:2">
      <c r="A76"/>
      <c r="B76"/>
    </row>
    <row r="77" spans="1:2">
      <c r="A77"/>
      <c r="B77"/>
    </row>
    <row r="78" spans="1:2">
      <c r="A78"/>
      <c r="B78"/>
    </row>
    <row r="79" spans="1:2">
      <c r="A79"/>
      <c r="B79"/>
    </row>
    <row r="80" spans="1:2">
      <c r="A80"/>
      <c r="B80"/>
    </row>
    <row r="81" spans="1:2">
      <c r="A81"/>
      <c r="B81"/>
    </row>
    <row r="82" spans="1:2">
      <c r="A82"/>
      <c r="B82"/>
    </row>
    <row r="83" spans="1:2">
      <c r="A83"/>
      <c r="B83"/>
    </row>
    <row r="84" spans="1:2">
      <c r="A84"/>
      <c r="B84"/>
    </row>
    <row r="85" spans="1:2">
      <c r="A85"/>
      <c r="B85"/>
    </row>
    <row r="86" spans="1:2">
      <c r="A86"/>
      <c r="B86"/>
    </row>
    <row r="87" spans="1:2">
      <c r="A87"/>
      <c r="B87"/>
    </row>
    <row r="88" spans="1:2">
      <c r="A88"/>
      <c r="B88"/>
    </row>
    <row r="89" spans="1:2">
      <c r="A89"/>
      <c r="B89"/>
    </row>
    <row r="90" spans="1:2">
      <c r="A90"/>
      <c r="B90"/>
    </row>
    <row r="91" spans="1:2">
      <c r="A91"/>
      <c r="B91"/>
    </row>
    <row r="92" spans="1:2">
      <c r="A92"/>
      <c r="B92"/>
    </row>
    <row r="93" spans="1:2">
      <c r="A93"/>
      <c r="B93"/>
    </row>
    <row r="94" spans="1:2">
      <c r="A94"/>
      <c r="B94"/>
    </row>
    <row r="95" spans="1:2">
      <c r="A95"/>
      <c r="B95"/>
    </row>
    <row r="96" spans="1:2">
      <c r="A96"/>
      <c r="B96"/>
    </row>
    <row r="97" spans="1:2">
      <c r="A97"/>
      <c r="B97"/>
    </row>
    <row r="98" spans="1:2">
      <c r="A98"/>
      <c r="B98"/>
    </row>
    <row r="99" spans="1:2">
      <c r="A99"/>
      <c r="B99"/>
    </row>
    <row r="100" spans="1:2">
      <c r="A100"/>
      <c r="B100"/>
    </row>
    <row r="101" spans="1:2">
      <c r="A101"/>
      <c r="B101"/>
    </row>
    <row r="102" spans="1:2">
      <c r="A102"/>
      <c r="B102"/>
    </row>
    <row r="103" spans="1:2">
      <c r="A103"/>
      <c r="B103"/>
    </row>
    <row r="104" spans="1:2">
      <c r="A104"/>
      <c r="B104"/>
    </row>
    <row r="105" spans="1:2">
      <c r="A105"/>
      <c r="B105"/>
    </row>
    <row r="106" spans="1:2">
      <c r="A106"/>
      <c r="B106"/>
    </row>
    <row r="107" spans="1:2">
      <c r="A107"/>
      <c r="B107"/>
    </row>
    <row r="108" spans="1:2">
      <c r="A108"/>
      <c r="B108"/>
    </row>
    <row r="109" spans="1:2">
      <c r="A109"/>
      <c r="B109"/>
    </row>
    <row r="110" spans="1:2">
      <c r="A110"/>
      <c r="B110"/>
    </row>
    <row r="111" spans="1:2">
      <c r="A111"/>
      <c r="B111"/>
    </row>
    <row r="112" spans="1:2">
      <c r="A112"/>
      <c r="B112"/>
    </row>
    <row r="113" spans="1:2">
      <c r="A113"/>
      <c r="B113"/>
    </row>
    <row r="114" spans="1:2">
      <c r="A114"/>
      <c r="B114"/>
    </row>
    <row r="115" spans="1:2">
      <c r="A115"/>
      <c r="B115"/>
    </row>
    <row r="116" spans="1:2">
      <c r="A116"/>
      <c r="B116"/>
    </row>
    <row r="117" spans="1:2">
      <c r="A117"/>
      <c r="B117"/>
    </row>
    <row r="118" spans="1:2">
      <c r="A118"/>
      <c r="B118"/>
    </row>
    <row r="119" spans="1:2">
      <c r="A119"/>
      <c r="B119"/>
    </row>
    <row r="120" spans="1:2">
      <c r="A120"/>
      <c r="B120"/>
    </row>
    <row r="121" spans="1:2">
      <c r="A121"/>
      <c r="B121"/>
    </row>
    <row r="122" spans="1:2">
      <c r="A122"/>
      <c r="B122"/>
    </row>
    <row r="123" spans="1:2">
      <c r="A123"/>
      <c r="B123"/>
    </row>
    <row r="124" spans="1:2">
      <c r="A124"/>
      <c r="B124"/>
    </row>
    <row r="125" spans="1:2">
      <c r="A125"/>
      <c r="B125"/>
    </row>
    <row r="126" spans="1:2">
      <c r="A126"/>
      <c r="B126"/>
    </row>
    <row r="127" spans="1:2">
      <c r="A127"/>
      <c r="B127"/>
    </row>
    <row r="128" spans="1:2">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row r="159" spans="1:2">
      <c r="A159"/>
      <c r="B159"/>
    </row>
    <row r="160" spans="1:2">
      <c r="A160"/>
      <c r="B160"/>
    </row>
    <row r="161" spans="1:2">
      <c r="A161"/>
      <c r="B161"/>
    </row>
    <row r="162" spans="1:2">
      <c r="A162"/>
      <c r="B162"/>
    </row>
    <row r="163" spans="1:2">
      <c r="A163"/>
      <c r="B163"/>
    </row>
    <row r="164" spans="1:2">
      <c r="A164"/>
      <c r="B164"/>
    </row>
    <row r="165" spans="1:2">
      <c r="A165"/>
      <c r="B165"/>
    </row>
    <row r="166" spans="1:2">
      <c r="A166"/>
      <c r="B166"/>
    </row>
    <row r="167" spans="1:2">
      <c r="A167"/>
      <c r="B167"/>
    </row>
    <row r="168" spans="1:2">
      <c r="A168"/>
      <c r="B168"/>
    </row>
    <row r="169" spans="1:2">
      <c r="A169"/>
      <c r="B169"/>
    </row>
    <row r="170" spans="1:2">
      <c r="A170"/>
      <c r="B170"/>
    </row>
    <row r="171" spans="1:2">
      <c r="A171"/>
      <c r="B171"/>
    </row>
    <row r="172" spans="1:2">
      <c r="A172"/>
      <c r="B172"/>
    </row>
    <row r="173" spans="1:2">
      <c r="A173"/>
      <c r="B173"/>
    </row>
    <row r="174" spans="1:2">
      <c r="A174"/>
      <c r="B174"/>
    </row>
    <row r="175" spans="1:2">
      <c r="A175"/>
      <c r="B175"/>
    </row>
    <row r="176" spans="1:2">
      <c r="A176"/>
      <c r="B176"/>
    </row>
    <row r="177" spans="1:2">
      <c r="A177"/>
      <c r="B177"/>
    </row>
    <row r="178" spans="1:2">
      <c r="A178"/>
      <c r="B178"/>
    </row>
    <row r="179" spans="1:2">
      <c r="A179"/>
      <c r="B179"/>
    </row>
    <row r="180" spans="1:2">
      <c r="A180"/>
      <c r="B180"/>
    </row>
    <row r="181" spans="1:2">
      <c r="A181"/>
      <c r="B181"/>
    </row>
    <row r="182" spans="1:2">
      <c r="A182"/>
      <c r="B182"/>
    </row>
    <row r="183" spans="1:2">
      <c r="A183"/>
      <c r="B183"/>
    </row>
    <row r="184" spans="1:2">
      <c r="A184"/>
      <c r="B184"/>
    </row>
    <row r="185" spans="1:2">
      <c r="A185"/>
      <c r="B185"/>
    </row>
    <row r="186" spans="1:2">
      <c r="A186"/>
      <c r="B186"/>
    </row>
    <row r="187" spans="1:2">
      <c r="A187"/>
      <c r="B187"/>
    </row>
    <row r="188" spans="1:2">
      <c r="A188"/>
      <c r="B188"/>
    </row>
    <row r="189" spans="1:2">
      <c r="A189"/>
      <c r="B189"/>
    </row>
    <row r="190" spans="1:2">
      <c r="A190"/>
      <c r="B190"/>
    </row>
    <row r="191" spans="1:2">
      <c r="A191"/>
      <c r="B191"/>
    </row>
    <row r="192" spans="1:2">
      <c r="A192"/>
      <c r="B192"/>
    </row>
    <row r="193" spans="1:2">
      <c r="A193"/>
      <c r="B193"/>
    </row>
    <row r="194" spans="1:2">
      <c r="A194"/>
      <c r="B194"/>
    </row>
    <row r="195" spans="1:2">
      <c r="A195"/>
      <c r="B195"/>
    </row>
    <row r="196" spans="1:2">
      <c r="A196"/>
      <c r="B196"/>
    </row>
    <row r="197" spans="1:2">
      <c r="A197"/>
      <c r="B197"/>
    </row>
    <row r="198" spans="1:2">
      <c r="A198"/>
      <c r="B198"/>
    </row>
    <row r="199" spans="1:2">
      <c r="A199"/>
      <c r="B199"/>
    </row>
    <row r="200" spans="1:2">
      <c r="A200"/>
      <c r="B200"/>
    </row>
    <row r="201" spans="1:2">
      <c r="A201"/>
      <c r="B201"/>
    </row>
    <row r="202" spans="1:2">
      <c r="A202"/>
      <c r="B202"/>
    </row>
    <row r="203" spans="1:2">
      <c r="A203"/>
      <c r="B203"/>
    </row>
    <row r="204" spans="1:2">
      <c r="A204"/>
      <c r="B204"/>
    </row>
    <row r="205" spans="1:2">
      <c r="A205"/>
      <c r="B205"/>
    </row>
    <row r="206" spans="1:2">
      <c r="A206"/>
      <c r="B206"/>
    </row>
    <row r="207" spans="1:2">
      <c r="A207"/>
      <c r="B207"/>
    </row>
    <row r="208" spans="1:2">
      <c r="A208"/>
      <c r="B208"/>
    </row>
    <row r="209" spans="1:2">
      <c r="A209"/>
      <c r="B209"/>
    </row>
    <row r="210" spans="1:2">
      <c r="A210"/>
      <c r="B210"/>
    </row>
    <row r="211" spans="1:2">
      <c r="A211"/>
      <c r="B211"/>
    </row>
    <row r="212" spans="1:2">
      <c r="A212"/>
      <c r="B212"/>
    </row>
    <row r="213" spans="1:2">
      <c r="A213"/>
      <c r="B213"/>
    </row>
    <row r="214" spans="1:2">
      <c r="A214"/>
      <c r="B214"/>
    </row>
    <row r="215" spans="1:2">
      <c r="A215"/>
      <c r="B215"/>
    </row>
    <row r="216" spans="1:2">
      <c r="A216"/>
      <c r="B216"/>
    </row>
    <row r="217" spans="1:2">
      <c r="A217"/>
      <c r="B217"/>
    </row>
    <row r="218" spans="1:2">
      <c r="A218"/>
      <c r="B218"/>
    </row>
    <row r="219" spans="1:2">
      <c r="A219"/>
      <c r="B219"/>
    </row>
    <row r="220" spans="1:2">
      <c r="A220"/>
      <c r="B220"/>
    </row>
    <row r="221" spans="1:2">
      <c r="A221"/>
      <c r="B221"/>
    </row>
    <row r="222" spans="1:2">
      <c r="A222"/>
      <c r="B222"/>
    </row>
    <row r="223" spans="1:2">
      <c r="A223"/>
      <c r="B223"/>
    </row>
    <row r="224" spans="1:2">
      <c r="A224"/>
      <c r="B224"/>
    </row>
    <row r="225" spans="1:2">
      <c r="A225"/>
      <c r="B225"/>
    </row>
    <row r="226" spans="1:2">
      <c r="A226"/>
      <c r="B226"/>
    </row>
    <row r="227" spans="1:2">
      <c r="A227"/>
      <c r="B227"/>
    </row>
    <row r="228" spans="1:2">
      <c r="A228"/>
      <c r="B228"/>
    </row>
    <row r="229" spans="1:2">
      <c r="A229"/>
      <c r="B229"/>
    </row>
    <row r="230" spans="1:2">
      <c r="A230"/>
      <c r="B230"/>
    </row>
    <row r="231" spans="1:2">
      <c r="A231"/>
      <c r="B231"/>
    </row>
    <row r="232" spans="1:2">
      <c r="A232"/>
      <c r="B232"/>
    </row>
    <row r="233" spans="1:2">
      <c r="A233"/>
      <c r="B233"/>
    </row>
    <row r="234" spans="1:2">
      <c r="A234"/>
      <c r="B234"/>
    </row>
    <row r="235" spans="1:2">
      <c r="A235"/>
      <c r="B235"/>
    </row>
    <row r="236" spans="1:2">
      <c r="A236"/>
      <c r="B236"/>
    </row>
    <row r="237" spans="1:2">
      <c r="A237"/>
      <c r="B237"/>
    </row>
    <row r="238" spans="1:2">
      <c r="A238"/>
      <c r="B238"/>
    </row>
    <row r="239" spans="1:2">
      <c r="A239"/>
      <c r="B239"/>
    </row>
    <row r="240" spans="1:2">
      <c r="A240"/>
      <c r="B240"/>
    </row>
    <row r="241" spans="1:2">
      <c r="A241"/>
      <c r="B241"/>
    </row>
    <row r="242" spans="1:2">
      <c r="A242"/>
      <c r="B242"/>
    </row>
    <row r="243" spans="1:2">
      <c r="A243"/>
      <c r="B243"/>
    </row>
    <row r="244" spans="1:2">
      <c r="A244"/>
      <c r="B244"/>
    </row>
    <row r="245" spans="1:2">
      <c r="A245"/>
      <c r="B245"/>
    </row>
    <row r="246" spans="1:2">
      <c r="A246"/>
      <c r="B246"/>
    </row>
    <row r="247" spans="1:2">
      <c r="A247"/>
      <c r="B247"/>
    </row>
    <row r="248" spans="1:2">
      <c r="A248"/>
      <c r="B248"/>
    </row>
    <row r="249" spans="1:2">
      <c r="A249"/>
      <c r="B249"/>
    </row>
    <row r="250" spans="1:2">
      <c r="A250"/>
      <c r="B250"/>
    </row>
    <row r="251" spans="1:2">
      <c r="A251"/>
      <c r="B251"/>
    </row>
    <row r="252" spans="1:2">
      <c r="A252"/>
      <c r="B252"/>
    </row>
    <row r="253" spans="1:2">
      <c r="A253"/>
      <c r="B253"/>
    </row>
    <row r="254" spans="1:2">
      <c r="A254"/>
      <c r="B254"/>
    </row>
    <row r="255" spans="1:2">
      <c r="A255"/>
      <c r="B255"/>
    </row>
    <row r="256" spans="1:2">
      <c r="A256"/>
      <c r="B256"/>
    </row>
    <row r="257" spans="1:2">
      <c r="A257"/>
      <c r="B257"/>
    </row>
    <row r="258" spans="1:2">
      <c r="A258"/>
      <c r="B258"/>
    </row>
    <row r="259" spans="1:2">
      <c r="A259"/>
      <c r="B259"/>
    </row>
    <row r="260" spans="1:2">
      <c r="A260"/>
      <c r="B260"/>
    </row>
    <row r="261" spans="1:2">
      <c r="A261"/>
      <c r="B261"/>
    </row>
    <row r="262" spans="1:2">
      <c r="A262"/>
      <c r="B262"/>
    </row>
    <row r="263" spans="1:2">
      <c r="A263"/>
      <c r="B263"/>
    </row>
    <row r="264" spans="1:2">
      <c r="A264"/>
      <c r="B264"/>
    </row>
    <row r="265" spans="1:2">
      <c r="A265"/>
      <c r="B265"/>
    </row>
    <row r="266" spans="1:2">
      <c r="A266"/>
      <c r="B266"/>
    </row>
    <row r="267" spans="1:2">
      <c r="A267"/>
      <c r="B267"/>
    </row>
    <row r="268" spans="1:2">
      <c r="A268"/>
      <c r="B268"/>
    </row>
    <row r="269" spans="1:2">
      <c r="A269"/>
      <c r="B269"/>
    </row>
    <row r="270" spans="1:2">
      <c r="A270"/>
      <c r="B270"/>
    </row>
    <row r="271" spans="1:2">
      <c r="A271"/>
      <c r="B271"/>
    </row>
    <row r="272" spans="1:2">
      <c r="A272"/>
      <c r="B272"/>
    </row>
    <row r="273" spans="1:2">
      <c r="A273"/>
      <c r="B273"/>
    </row>
    <row r="274" spans="1:2">
      <c r="A274"/>
      <c r="B274"/>
    </row>
    <row r="275" spans="1:2">
      <c r="A275"/>
      <c r="B275"/>
    </row>
    <row r="276" spans="1:2">
      <c r="A276"/>
      <c r="B276"/>
    </row>
    <row r="277" spans="1:2">
      <c r="A277"/>
      <c r="B277"/>
    </row>
    <row r="278" spans="1:2">
      <c r="A278"/>
      <c r="B278"/>
    </row>
    <row r="279" spans="1:2">
      <c r="A279"/>
      <c r="B279"/>
    </row>
    <row r="280" spans="1:2">
      <c r="A280"/>
      <c r="B280"/>
    </row>
    <row r="281" spans="1:2">
      <c r="A281"/>
      <c r="B281"/>
    </row>
    <row r="282" spans="1:2">
      <c r="A282"/>
      <c r="B282"/>
    </row>
    <row r="283" spans="1:2">
      <c r="A283"/>
      <c r="B283"/>
    </row>
    <row r="284" spans="1:2">
      <c r="A284"/>
      <c r="B284"/>
    </row>
    <row r="285" spans="1:2">
      <c r="A285"/>
      <c r="B285"/>
    </row>
    <row r="286" spans="1:2">
      <c r="A286"/>
      <c r="B286"/>
    </row>
    <row r="287" spans="1:2">
      <c r="A287"/>
      <c r="B287"/>
    </row>
  </sheetData>
  <sheetProtection formatColumns="0" formatRows="0"/>
  <phoneticPr fontId="10"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TEHSHEET">
    <tabColor indexed="47"/>
  </sheetPr>
  <dimension ref="A1:U87"/>
  <sheetViews>
    <sheetView showGridLines="0" topLeftCell="R1" workbookViewId="0">
      <selection activeCell="R22" sqref="R21:R22"/>
    </sheetView>
  </sheetViews>
  <sheetFormatPr defaultColWidth="9.140625" defaultRowHeight="12.75"/>
  <cols>
    <col min="1" max="1" width="32.5703125" style="6" bestFit="1" customWidth="1"/>
    <col min="2" max="2" width="33.5703125" customWidth="1"/>
    <col min="3" max="3" width="15.140625" customWidth="1"/>
    <col min="4" max="4" width="9"/>
    <col min="5" max="5" width="12.140625" customWidth="1"/>
    <col min="6" max="6" width="10.5703125" customWidth="1"/>
    <col min="7" max="7" width="6.7109375" customWidth="1"/>
    <col min="8" max="8" width="42.7109375" style="50" customWidth="1"/>
    <col min="9" max="9" width="77.140625" style="4" customWidth="1"/>
    <col min="10" max="10" width="28" style="4" customWidth="1"/>
    <col min="11" max="11" width="30.5703125" style="4" customWidth="1"/>
    <col min="12" max="12" width="45.7109375" style="4" customWidth="1"/>
    <col min="13" max="13" width="29" style="4" customWidth="1"/>
    <col min="14" max="14" width="23.140625" style="4" customWidth="1"/>
    <col min="15" max="15" width="23.7109375" style="4" customWidth="1"/>
    <col min="16" max="16" width="2.85546875" style="4" customWidth="1"/>
    <col min="17" max="17" width="40.5703125" style="4" customWidth="1"/>
    <col min="18" max="18" width="15.5703125" style="4" customWidth="1"/>
    <col min="19" max="19" width="57.7109375" style="4" customWidth="1"/>
    <col min="20" max="20" width="9.140625" style="4"/>
    <col min="21" max="21" width="10.42578125" style="4" customWidth="1"/>
    <col min="22" max="16384" width="9.140625" style="4"/>
  </cols>
  <sheetData>
    <row r="1" spans="1:21" ht="12" customHeight="1">
      <c r="A1" s="42" t="s">
        <v>140</v>
      </c>
      <c r="B1" s="49" t="s">
        <v>217</v>
      </c>
      <c r="C1" s="49" t="s">
        <v>241</v>
      </c>
      <c r="D1" s="49" t="s">
        <v>20</v>
      </c>
      <c r="E1" s="49" t="s">
        <v>253</v>
      </c>
      <c r="F1" s="49" t="s">
        <v>182</v>
      </c>
      <c r="G1" s="49" t="s">
        <v>17</v>
      </c>
      <c r="H1" s="52" t="s">
        <v>15</v>
      </c>
      <c r="I1" s="49" t="s">
        <v>197</v>
      </c>
      <c r="J1" s="49" t="s">
        <v>202</v>
      </c>
      <c r="K1" s="49" t="s">
        <v>203</v>
      </c>
      <c r="L1" s="49" t="s">
        <v>204</v>
      </c>
      <c r="M1" s="150" t="s">
        <v>269</v>
      </c>
      <c r="N1" s="150" t="s">
        <v>291</v>
      </c>
      <c r="O1" s="150" t="s">
        <v>295</v>
      </c>
      <c r="P1" s="150"/>
      <c r="Q1" s="150" t="s">
        <v>339</v>
      </c>
      <c r="R1" s="150" t="s">
        <v>305</v>
      </c>
      <c r="S1" s="150" t="s">
        <v>352</v>
      </c>
      <c r="U1" s="49" t="s">
        <v>384</v>
      </c>
    </row>
    <row r="2" spans="1:21">
      <c r="A2" s="5" t="s">
        <v>44</v>
      </c>
      <c r="C2" t="s">
        <v>0</v>
      </c>
      <c r="D2" t="s">
        <v>0</v>
      </c>
      <c r="E2" t="s">
        <v>242</v>
      </c>
      <c r="F2" t="s">
        <v>183</v>
      </c>
      <c r="G2" t="s">
        <v>18</v>
      </c>
      <c r="H2" s="192" t="s">
        <v>240</v>
      </c>
      <c r="I2" s="4" t="s">
        <v>198</v>
      </c>
      <c r="J2" s="4" t="s">
        <v>205</v>
      </c>
      <c r="K2" s="4" t="s">
        <v>209</v>
      </c>
      <c r="L2" s="4" t="s">
        <v>215</v>
      </c>
      <c r="M2" s="151" t="s">
        <v>270</v>
      </c>
      <c r="N2" s="151" t="s">
        <v>292</v>
      </c>
      <c r="O2" s="151" t="s">
        <v>296</v>
      </c>
      <c r="P2" s="151" t="s">
        <v>268</v>
      </c>
      <c r="Q2" s="151" t="s">
        <v>341</v>
      </c>
      <c r="R2" s="151" t="s">
        <v>306</v>
      </c>
      <c r="S2" s="273" t="s">
        <v>353</v>
      </c>
      <c r="U2" s="151" t="s">
        <v>162</v>
      </c>
    </row>
    <row r="3" spans="1:21" ht="12" customHeight="1">
      <c r="A3" s="5" t="s">
        <v>45</v>
      </c>
      <c r="D3" t="s">
        <v>1</v>
      </c>
      <c r="E3" t="s">
        <v>243</v>
      </c>
      <c r="F3" t="s">
        <v>184</v>
      </c>
      <c r="G3" t="s">
        <v>19</v>
      </c>
      <c r="H3" s="48" t="s">
        <v>221</v>
      </c>
      <c r="I3" s="4" t="s">
        <v>212</v>
      </c>
      <c r="J3" s="4" t="s">
        <v>206</v>
      </c>
      <c r="K3" s="4" t="s">
        <v>210</v>
      </c>
      <c r="L3" s="4" t="s">
        <v>211</v>
      </c>
      <c r="M3" s="151" t="s">
        <v>271</v>
      </c>
      <c r="N3" s="151" t="s">
        <v>293</v>
      </c>
      <c r="O3" s="151" t="s">
        <v>297</v>
      </c>
      <c r="P3" s="151" t="s">
        <v>118</v>
      </c>
      <c r="Q3" s="151" t="s">
        <v>342</v>
      </c>
      <c r="R3" s="151" t="s">
        <v>307</v>
      </c>
      <c r="S3" s="151" t="s">
        <v>355</v>
      </c>
      <c r="U3" s="151" t="s">
        <v>164</v>
      </c>
    </row>
    <row r="4" spans="1:21" ht="12" customHeight="1">
      <c r="A4" s="5" t="s">
        <v>46</v>
      </c>
      <c r="D4" t="s">
        <v>2</v>
      </c>
      <c r="E4" t="s">
        <v>244</v>
      </c>
      <c r="F4" t="s">
        <v>185</v>
      </c>
      <c r="H4" s="48" t="s">
        <v>223</v>
      </c>
      <c r="I4" s="4" t="s">
        <v>199</v>
      </c>
      <c r="J4" s="4" t="s">
        <v>207</v>
      </c>
      <c r="M4" s="151" t="s">
        <v>272</v>
      </c>
      <c r="O4" s="151" t="s">
        <v>298</v>
      </c>
      <c r="P4" s="151" t="s">
        <v>119</v>
      </c>
      <c r="Q4" s="151" t="s">
        <v>357</v>
      </c>
      <c r="S4" s="151" t="s">
        <v>354</v>
      </c>
      <c r="U4" s="151" t="s">
        <v>165</v>
      </c>
    </row>
    <row r="5" spans="1:21" ht="12" customHeight="1">
      <c r="A5" s="5" t="s">
        <v>47</v>
      </c>
      <c r="D5" t="s">
        <v>3</v>
      </c>
      <c r="E5" t="s">
        <v>245</v>
      </c>
      <c r="F5" t="s">
        <v>186</v>
      </c>
      <c r="H5" s="192" t="s">
        <v>327</v>
      </c>
      <c r="I5" s="4" t="s">
        <v>200</v>
      </c>
      <c r="J5" s="4" t="s">
        <v>208</v>
      </c>
      <c r="P5" s="151" t="s">
        <v>120</v>
      </c>
      <c r="Q5" s="151" t="s">
        <v>382</v>
      </c>
    </row>
    <row r="6" spans="1:21" ht="12" customHeight="1">
      <c r="A6" s="5" t="s">
        <v>48</v>
      </c>
      <c r="D6" t="s">
        <v>4</v>
      </c>
      <c r="E6" t="s">
        <v>246</v>
      </c>
      <c r="F6" t="s">
        <v>187</v>
      </c>
      <c r="H6" s="48" t="s">
        <v>226</v>
      </c>
      <c r="I6" s="4" t="s">
        <v>201</v>
      </c>
      <c r="P6" s="151" t="s">
        <v>344</v>
      </c>
      <c r="Q6" s="151" t="s">
        <v>377</v>
      </c>
    </row>
    <row r="7" spans="1:21" ht="12" customHeight="1">
      <c r="A7" s="5" t="s">
        <v>49</v>
      </c>
      <c r="D7" t="s">
        <v>5</v>
      </c>
      <c r="E7" t="s">
        <v>247</v>
      </c>
      <c r="F7" t="s">
        <v>188</v>
      </c>
      <c r="H7" s="48" t="s">
        <v>228</v>
      </c>
      <c r="I7" s="4" t="s">
        <v>216</v>
      </c>
      <c r="P7" s="151" t="s">
        <v>358</v>
      </c>
      <c r="Q7" s="151" t="s">
        <v>381</v>
      </c>
    </row>
    <row r="8" spans="1:21" ht="12" customHeight="1">
      <c r="A8" s="5" t="s">
        <v>50</v>
      </c>
      <c r="D8" t="s">
        <v>6</v>
      </c>
      <c r="E8" t="s">
        <v>248</v>
      </c>
      <c r="F8" t="s">
        <v>189</v>
      </c>
      <c r="H8" s="48" t="s">
        <v>230</v>
      </c>
      <c r="P8" s="151" t="s">
        <v>359</v>
      </c>
      <c r="Q8" s="151" t="s">
        <v>340</v>
      </c>
    </row>
    <row r="9" spans="1:21" ht="12" customHeight="1">
      <c r="A9" s="5" t="s">
        <v>51</v>
      </c>
      <c r="D9" t="s">
        <v>7</v>
      </c>
      <c r="E9" t="s">
        <v>249</v>
      </c>
      <c r="F9" t="s">
        <v>190</v>
      </c>
      <c r="H9" s="192" t="s">
        <v>232</v>
      </c>
      <c r="P9" s="151" t="s">
        <v>376</v>
      </c>
      <c r="Q9" s="151" t="s">
        <v>298</v>
      </c>
    </row>
    <row r="10" spans="1:21" ht="12" customHeight="1">
      <c r="A10" s="5" t="s">
        <v>52</v>
      </c>
      <c r="D10" t="s">
        <v>8</v>
      </c>
      <c r="E10" t="s">
        <v>250</v>
      </c>
      <c r="F10" t="s">
        <v>191</v>
      </c>
      <c r="H10" s="192" t="s">
        <v>233</v>
      </c>
    </row>
    <row r="11" spans="1:21" ht="12" customHeight="1">
      <c r="A11" s="5" t="s">
        <v>53</v>
      </c>
      <c r="D11" t="s">
        <v>9</v>
      </c>
      <c r="E11" t="s">
        <v>251</v>
      </c>
      <c r="F11" t="s">
        <v>192</v>
      </c>
      <c r="H11" s="192" t="s">
        <v>234</v>
      </c>
    </row>
    <row r="12" spans="1:21" ht="11.25">
      <c r="A12" s="5" t="s">
        <v>138</v>
      </c>
      <c r="D12" t="s">
        <v>10</v>
      </c>
      <c r="E12" t="s">
        <v>252</v>
      </c>
      <c r="F12" t="s">
        <v>193</v>
      </c>
      <c r="H12" s="192" t="s">
        <v>237</v>
      </c>
    </row>
    <row r="13" spans="1:21" ht="11.25">
      <c r="A13" s="5" t="s">
        <v>54</v>
      </c>
      <c r="D13" t="s">
        <v>11</v>
      </c>
      <c r="E13" t="s">
        <v>21</v>
      </c>
      <c r="F13" t="s">
        <v>194</v>
      </c>
      <c r="H13" s="192" t="s">
        <v>239</v>
      </c>
    </row>
    <row r="14" spans="1:21" ht="12.75" customHeight="1">
      <c r="A14" s="5" t="s">
        <v>139</v>
      </c>
      <c r="D14" t="s">
        <v>12</v>
      </c>
      <c r="E14" t="s">
        <v>22</v>
      </c>
    </row>
    <row r="15" spans="1:21" ht="12.75" customHeight="1">
      <c r="A15" s="119" t="s">
        <v>255</v>
      </c>
      <c r="D15" t="s">
        <v>13</v>
      </c>
      <c r="E15" t="s">
        <v>23</v>
      </c>
    </row>
    <row r="16" spans="1:21">
      <c r="A16" s="5" t="s">
        <v>55</v>
      </c>
      <c r="D16" t="s">
        <v>273</v>
      </c>
      <c r="E16" t="s">
        <v>0</v>
      </c>
    </row>
    <row r="17" spans="1:5">
      <c r="A17" s="5" t="s">
        <v>56</v>
      </c>
      <c r="D17" t="s">
        <v>274</v>
      </c>
      <c r="E17" t="s">
        <v>1</v>
      </c>
    </row>
    <row r="18" spans="1:5">
      <c r="A18" s="5" t="s">
        <v>57</v>
      </c>
      <c r="D18" t="s">
        <v>290</v>
      </c>
      <c r="E18" t="s">
        <v>2</v>
      </c>
    </row>
    <row r="19" spans="1:5">
      <c r="A19" s="5" t="s">
        <v>58</v>
      </c>
      <c r="E19" t="s">
        <v>3</v>
      </c>
    </row>
    <row r="20" spans="1:5">
      <c r="A20" s="5" t="s">
        <v>59</v>
      </c>
      <c r="E20" t="s">
        <v>4</v>
      </c>
    </row>
    <row r="21" spans="1:5">
      <c r="A21" s="5" t="s">
        <v>60</v>
      </c>
      <c r="E21" t="s">
        <v>5</v>
      </c>
    </row>
    <row r="22" spans="1:5">
      <c r="A22" s="5" t="s">
        <v>61</v>
      </c>
      <c r="E22" t="s">
        <v>6</v>
      </c>
    </row>
    <row r="23" spans="1:5">
      <c r="A23" s="5" t="s">
        <v>62</v>
      </c>
      <c r="E23" t="s">
        <v>7</v>
      </c>
    </row>
    <row r="24" spans="1:5">
      <c r="A24" s="5" t="s">
        <v>63</v>
      </c>
      <c r="E24" t="s">
        <v>8</v>
      </c>
    </row>
    <row r="25" spans="1:5">
      <c r="A25" s="5" t="s">
        <v>64</v>
      </c>
      <c r="E25" t="s">
        <v>9</v>
      </c>
    </row>
    <row r="26" spans="1:5">
      <c r="A26" s="5" t="s">
        <v>65</v>
      </c>
      <c r="E26" t="s">
        <v>10</v>
      </c>
    </row>
    <row r="27" spans="1:5">
      <c r="A27" s="5" t="s">
        <v>66</v>
      </c>
      <c r="E27" t="s">
        <v>11</v>
      </c>
    </row>
    <row r="28" spans="1:5">
      <c r="A28" s="5" t="s">
        <v>67</v>
      </c>
      <c r="E28" t="s">
        <v>12</v>
      </c>
    </row>
    <row r="29" spans="1:5">
      <c r="A29" s="5" t="s">
        <v>68</v>
      </c>
      <c r="E29" t="s">
        <v>13</v>
      </c>
    </row>
    <row r="30" spans="1:5">
      <c r="A30" s="5" t="s">
        <v>69</v>
      </c>
      <c r="E30" t="s">
        <v>273</v>
      </c>
    </row>
    <row r="31" spans="1:5">
      <c r="A31" s="5" t="s">
        <v>70</v>
      </c>
      <c r="E31" t="s">
        <v>274</v>
      </c>
    </row>
    <row r="32" spans="1:5">
      <c r="A32" s="5" t="s">
        <v>71</v>
      </c>
      <c r="E32" t="s">
        <v>290</v>
      </c>
    </row>
    <row r="33" spans="1:1">
      <c r="A33" s="5" t="s">
        <v>72</v>
      </c>
    </row>
    <row r="34" spans="1:1">
      <c r="A34" s="5" t="s">
        <v>73</v>
      </c>
    </row>
    <row r="35" spans="1:1">
      <c r="A35" s="5" t="s">
        <v>74</v>
      </c>
    </row>
    <row r="36" spans="1:1">
      <c r="A36" s="5" t="s">
        <v>38</v>
      </c>
    </row>
    <row r="37" spans="1:1">
      <c r="A37" s="5" t="s">
        <v>39</v>
      </c>
    </row>
    <row r="38" spans="1:1">
      <c r="A38" s="5" t="s">
        <v>40</v>
      </c>
    </row>
    <row r="39" spans="1:1">
      <c r="A39" s="5" t="s">
        <v>41</v>
      </c>
    </row>
    <row r="40" spans="1:1">
      <c r="A40" s="5" t="s">
        <v>42</v>
      </c>
    </row>
    <row r="41" spans="1:1">
      <c r="A41" s="5" t="s">
        <v>43</v>
      </c>
    </row>
    <row r="42" spans="1:1">
      <c r="A42" s="5" t="s">
        <v>75</v>
      </c>
    </row>
    <row r="43" spans="1:1">
      <c r="A43" s="5" t="s">
        <v>76</v>
      </c>
    </row>
    <row r="44" spans="1:1">
      <c r="A44" s="5" t="s">
        <v>77</v>
      </c>
    </row>
    <row r="45" spans="1:1">
      <c r="A45" s="5" t="s">
        <v>78</v>
      </c>
    </row>
    <row r="46" spans="1:1">
      <c r="A46" s="5" t="s">
        <v>79</v>
      </c>
    </row>
    <row r="47" spans="1:1">
      <c r="A47" s="5" t="s">
        <v>100</v>
      </c>
    </row>
    <row r="48" spans="1:1">
      <c r="A48" s="5" t="s">
        <v>101</v>
      </c>
    </row>
    <row r="49" spans="1:1">
      <c r="A49" s="5" t="s">
        <v>102</v>
      </c>
    </row>
    <row r="50" spans="1:1">
      <c r="A50" s="5" t="s">
        <v>80</v>
      </c>
    </row>
    <row r="51" spans="1:1">
      <c r="A51" s="5" t="s">
        <v>81</v>
      </c>
    </row>
    <row r="52" spans="1:1">
      <c r="A52" s="5" t="s">
        <v>82</v>
      </c>
    </row>
    <row r="53" spans="1:1">
      <c r="A53" s="5" t="s">
        <v>83</v>
      </c>
    </row>
    <row r="54" spans="1:1">
      <c r="A54" s="5" t="s">
        <v>84</v>
      </c>
    </row>
    <row r="55" spans="1:1">
      <c r="A55" s="5" t="s">
        <v>85</v>
      </c>
    </row>
    <row r="56" spans="1:1">
      <c r="A56" s="5" t="s">
        <v>86</v>
      </c>
    </row>
    <row r="57" spans="1:1">
      <c r="A57" s="119" t="s">
        <v>256</v>
      </c>
    </row>
    <row r="58" spans="1:1">
      <c r="A58" s="5" t="s">
        <v>87</v>
      </c>
    </row>
    <row r="59" spans="1:1">
      <c r="A59" s="5" t="s">
        <v>88</v>
      </c>
    </row>
    <row r="60" spans="1:1">
      <c r="A60" s="5" t="s">
        <v>89</v>
      </c>
    </row>
    <row r="61" spans="1:1">
      <c r="A61" s="5" t="s">
        <v>90</v>
      </c>
    </row>
    <row r="62" spans="1:1">
      <c r="A62" s="5" t="s">
        <v>33</v>
      </c>
    </row>
    <row r="63" spans="1:1">
      <c r="A63" s="5" t="s">
        <v>91</v>
      </c>
    </row>
    <row r="64" spans="1:1">
      <c r="A64" s="5" t="s">
        <v>92</v>
      </c>
    </row>
    <row r="65" spans="1:1">
      <c r="A65" s="5" t="s">
        <v>93</v>
      </c>
    </row>
    <row r="66" spans="1:1">
      <c r="A66" s="5" t="s">
        <v>94</v>
      </c>
    </row>
    <row r="67" spans="1:1">
      <c r="A67" s="5" t="s">
        <v>95</v>
      </c>
    </row>
    <row r="68" spans="1:1">
      <c r="A68" s="5" t="s">
        <v>96</v>
      </c>
    </row>
    <row r="69" spans="1:1">
      <c r="A69" s="5" t="s">
        <v>97</v>
      </c>
    </row>
    <row r="70" spans="1:1">
      <c r="A70" s="5" t="s">
        <v>98</v>
      </c>
    </row>
    <row r="71" spans="1:1">
      <c r="A71" s="5" t="s">
        <v>99</v>
      </c>
    </row>
    <row r="72" spans="1:1">
      <c r="A72" s="5" t="s">
        <v>103</v>
      </c>
    </row>
    <row r="73" spans="1:1">
      <c r="A73" s="5" t="s">
        <v>104</v>
      </c>
    </row>
    <row r="74" spans="1:1">
      <c r="A74" s="5" t="s">
        <v>105</v>
      </c>
    </row>
    <row r="75" spans="1:1">
      <c r="A75" s="5" t="s">
        <v>106</v>
      </c>
    </row>
    <row r="76" spans="1:1">
      <c r="A76" s="5" t="s">
        <v>107</v>
      </c>
    </row>
    <row r="77" spans="1:1">
      <c r="A77" s="5" t="s">
        <v>108</v>
      </c>
    </row>
    <row r="78" spans="1:1">
      <c r="A78" s="5" t="s">
        <v>109</v>
      </c>
    </row>
    <row r="79" spans="1:1">
      <c r="A79" s="5" t="s">
        <v>37</v>
      </c>
    </row>
    <row r="80" spans="1:1">
      <c r="A80" s="5" t="s">
        <v>110</v>
      </c>
    </row>
    <row r="81" spans="1:1">
      <c r="A81" s="5" t="s">
        <v>111</v>
      </c>
    </row>
    <row r="82" spans="1:1">
      <c r="A82" s="5" t="s">
        <v>112</v>
      </c>
    </row>
    <row r="83" spans="1:1">
      <c r="A83" s="5" t="s">
        <v>113</v>
      </c>
    </row>
    <row r="84" spans="1:1">
      <c r="A84" s="5" t="s">
        <v>114</v>
      </c>
    </row>
    <row r="85" spans="1:1">
      <c r="A85" s="5" t="s">
        <v>115</v>
      </c>
    </row>
    <row r="86" spans="1:1">
      <c r="A86" s="5" t="s">
        <v>116</v>
      </c>
    </row>
    <row r="87" spans="1:1">
      <c r="A87" s="5" t="s">
        <v>117</v>
      </c>
    </row>
  </sheetData>
  <sheetProtection formatColumns="0" formatRows="0"/>
  <phoneticPr fontId="1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200</vt:i4>
      </vt:variant>
    </vt:vector>
  </HeadingPairs>
  <TitlesOfParts>
    <vt:vector size="206" baseType="lpstr">
      <vt:lpstr>Инструкция</vt:lpstr>
      <vt:lpstr>Титульный</vt:lpstr>
      <vt:lpstr>Территории ИП</vt:lpstr>
      <vt:lpstr>ИП</vt:lpstr>
      <vt:lpstr>Комментарии</vt:lpstr>
      <vt:lpstr>Проверка</vt:lpstr>
      <vt:lpstr>add_01_1</vt:lpstr>
      <vt:lpstr>add_01_2</vt:lpstr>
      <vt:lpstr>add_01_3</vt:lpstr>
      <vt:lpstr>add_02_1</vt:lpstr>
      <vt:lpstr>add_com</vt:lpstr>
      <vt:lpstr>all_year_list</vt:lpstr>
      <vt:lpstr>begin_year_list</vt:lpstr>
      <vt:lpstr>change_ip</vt:lpstr>
      <vt:lpstr>change_url</vt:lpstr>
      <vt:lpstr>CheckBC_ws_01</vt:lpstr>
      <vt:lpstr>chkGetUpdatesValue</vt:lpstr>
      <vt:lpstr>chkNoUpdatesValue</vt:lpstr>
      <vt:lpstr>code</vt:lpstr>
      <vt:lpstr>concession</vt:lpstr>
      <vt:lpstr>date_end</vt:lpstr>
      <vt:lpstr>date_start</vt:lpstr>
      <vt:lpstr>decision_date</vt:lpstr>
      <vt:lpstr>decision_name</vt:lpstr>
      <vt:lpstr>decision_nmbr</vt:lpstr>
      <vt:lpstr>decision_type</vt:lpstr>
      <vt:lpstr>decision_url</vt:lpstr>
      <vt:lpstr>decision_url_actual</vt:lpstr>
      <vt:lpstr>et_com</vt:lpstr>
      <vt:lpstr>et_ListComm</vt:lpstr>
      <vt:lpstr>et_mr_list</vt:lpstr>
      <vt:lpstr>et_ws_01_ifin</vt:lpstr>
      <vt:lpstr>et_ws_01_ifin_lock</vt:lpstr>
      <vt:lpstr>et_ws_01_m</vt:lpstr>
      <vt:lpstr>et_ws_01_m_lock</vt:lpstr>
      <vt:lpstr>et_ws_01_obj</vt:lpstr>
      <vt:lpstr>et_ws_01_obj_lock</vt:lpstr>
      <vt:lpstr>et_ws_02_1</vt:lpstr>
      <vt:lpstr>fil_name</vt:lpstr>
      <vt:lpstr>FirstLine</vt:lpstr>
      <vt:lpstr>flag_ip</vt:lpstr>
      <vt:lpstr>god</vt:lpstr>
      <vt:lpstr>group_list</vt:lpstr>
      <vt:lpstr>inn</vt:lpstr>
      <vt:lpstr>Instr_1</vt:lpstr>
      <vt:lpstr>Instr_2</vt:lpstr>
      <vt:lpstr>Instr_3</vt:lpstr>
      <vt:lpstr>Instr_4</vt:lpstr>
      <vt:lpstr>Instr_5</vt:lpstr>
      <vt:lpstr>Instr_6</vt:lpstr>
      <vt:lpstr>Instr_7</vt:lpstr>
      <vt:lpstr>Instr_8</vt:lpstr>
      <vt:lpstr>instr_hyp1</vt:lpstr>
      <vt:lpstr>instr_hyp5</vt:lpstr>
      <vt:lpstr>ip_cost</vt:lpstr>
      <vt:lpstr>ip_list</vt:lpstr>
      <vt:lpstr>ip_name</vt:lpstr>
      <vt:lpstr>ist_fin_list</vt:lpstr>
      <vt:lpstr>IstFin_Range</vt:lpstr>
      <vt:lpstr>kpp</vt:lpstr>
      <vt:lpstr>LIST_MR_MO_OKTMO</vt:lpstr>
      <vt:lpstr>logical</vt:lpstr>
      <vt:lpstr>mo_col_02</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MO_LIST_31</vt:lpstr>
      <vt:lpstr>MO_LIST_32</vt:lpstr>
      <vt:lpstr>MO_LIST_33</vt:lpstr>
      <vt:lpstr>MO_LIST_34</vt:lpstr>
      <vt:lpstr>MO_LIST_35</vt:lpstr>
      <vt:lpstr>MO_LIST_36</vt:lpstr>
      <vt:lpstr>MO_LIST_37</vt:lpstr>
      <vt:lpstr>MO_LIST_38</vt:lpstr>
      <vt:lpstr>MO_LIST_39</vt:lpstr>
      <vt:lpstr>MO_LIST_4</vt:lpstr>
      <vt:lpstr>MO_LIST_40</vt:lpstr>
      <vt:lpstr>MO_LIST_41</vt:lpstr>
      <vt:lpstr>MO_LIST_42</vt:lpstr>
      <vt:lpstr>MO_LIST_43</vt:lpstr>
      <vt:lpstr>MO_LIST_44</vt:lpstr>
      <vt:lpstr>MO_LIST_5</vt:lpstr>
      <vt:lpstr>MO_LIST_6</vt:lpstr>
      <vt:lpstr>MO_LIST_7</vt:lpstr>
      <vt:lpstr>MO_LIST_8</vt:lpstr>
      <vt:lpstr>MO_LIST_9</vt:lpstr>
      <vt:lpstr>MONTH</vt:lpstr>
      <vt:lpstr>month_list</vt:lpstr>
      <vt:lpstr>mr_col_02</vt:lpstr>
      <vt:lpstr>MR_LIST</vt:lpstr>
      <vt:lpstr>nds</vt:lpstr>
      <vt:lpstr>nvv</vt:lpstr>
      <vt:lpstr>nvv_cost</vt:lpstr>
      <vt:lpstr>oktmo_col_02</vt:lpstr>
      <vt:lpstr>OKTMO_TYPE_LIST</vt:lpstr>
      <vt:lpstr>org</vt:lpstr>
      <vt:lpstr>Org_Address</vt:lpstr>
      <vt:lpstr>org_form</vt:lpstr>
      <vt:lpstr>Org_otv_lico</vt:lpstr>
      <vt:lpstr>pDel_Comm</vt:lpstr>
      <vt:lpstr>period</vt:lpstr>
      <vt:lpstr>plan_version</vt:lpstr>
      <vt:lpstr>podgroup_1_list</vt:lpstr>
      <vt:lpstr>podgroup_3_list</vt:lpstr>
      <vt:lpstr>podgroup_5_list</vt:lpstr>
      <vt:lpstr>quality</vt:lpstr>
      <vt:lpstr>REESTR_IP_RANGE</vt:lpstr>
      <vt:lpstr>REESTR_IP_STOP_REASON</vt:lpstr>
      <vt:lpstr>REESTR_MR_MO_OKTMO_RANGE</vt:lpstr>
      <vt:lpstr>REESTR_OBJECT_RANGE</vt:lpstr>
      <vt:lpstr>REGION</vt:lpstr>
      <vt:lpstr>region_name</vt:lpstr>
      <vt:lpstr>rst_org_id_ip</vt:lpstr>
      <vt:lpstr>rst_org_id_org</vt:lpstr>
      <vt:lpstr>spr_ip_end_list</vt:lpstr>
      <vt:lpstr>spr_ip_type_list</vt:lpstr>
      <vt:lpstr>spr_ip_type_list_change</vt:lpstr>
      <vt:lpstr>spr_ks</vt:lpstr>
      <vt:lpstr>spr_pok_kach</vt:lpstr>
      <vt:lpstr>spr_type</vt:lpstr>
      <vt:lpstr>spr_type_report</vt:lpstr>
      <vt:lpstr>status_ip</vt:lpstr>
      <vt:lpstr>stop_description</vt:lpstr>
      <vt:lpstr>stop_reason</vt:lpstr>
      <vt:lpstr>stop_url</vt:lpstr>
      <vt:lpstr>type_template</vt:lpstr>
      <vt:lpstr>UpdStatus</vt:lpstr>
      <vt:lpstr>vdet</vt:lpstr>
      <vt:lpstr>version</vt:lpstr>
      <vt:lpstr>ws_01_at_length_cncsn</vt:lpstr>
      <vt:lpstr>ws_01_at_length_event</vt:lpstr>
      <vt:lpstr>ws_01_at_length_object</vt:lpstr>
      <vt:lpstr>ws_01_col_0_d</vt:lpstr>
      <vt:lpstr>ws_01_col_0_p</vt:lpstr>
      <vt:lpstr>ws_01_col_0_up</vt:lpstr>
      <vt:lpstr>ws_01_col_1_d</vt:lpstr>
      <vt:lpstr>ws_01_col_1_p</vt:lpstr>
      <vt:lpstr>ws_01_col_1_up</vt:lpstr>
      <vt:lpstr>ws_01_col_2_d</vt:lpstr>
      <vt:lpstr>ws_01_col_2_p</vt:lpstr>
      <vt:lpstr>ws_01_col_2_up</vt:lpstr>
      <vt:lpstr>ws_01_col_3_d</vt:lpstr>
      <vt:lpstr>ws_01_col_3_p</vt:lpstr>
      <vt:lpstr>ws_01_col_3_up</vt:lpstr>
      <vt:lpstr>ws_01_col_4_d</vt:lpstr>
      <vt:lpstr>ws_01_col_4_p</vt:lpstr>
      <vt:lpstr>ws_01_col_4_up</vt:lpstr>
      <vt:lpstr>ws_01_col_add_event</vt:lpstr>
      <vt:lpstr>ws_01_col_add_ifin</vt:lpstr>
      <vt:lpstr>ws_01_col_add_obj</vt:lpstr>
      <vt:lpstr>ws_01_col_all_d</vt:lpstr>
      <vt:lpstr>ws_01_col_all_p</vt:lpstr>
      <vt:lpstr>ws_01_col_all_up</vt:lpstr>
      <vt:lpstr>ws_01_col_change</vt:lpstr>
      <vt:lpstr>ws_01_col_cncsn</vt:lpstr>
      <vt:lpstr>ws_01_col_cncsn_ok</vt:lpstr>
      <vt:lpstr>ws_01_col_comp_value</vt:lpstr>
      <vt:lpstr>ws_01_col_comp_value_ks</vt:lpstr>
      <vt:lpstr>ws_01_col_del_event</vt:lpstr>
      <vt:lpstr>ws_01_col_del_ifin</vt:lpstr>
      <vt:lpstr>ws_01_col_del_obj</vt:lpstr>
      <vt:lpstr>ws_01_col_last_d</vt:lpstr>
      <vt:lpstr>ws_01_col_last_p</vt:lpstr>
      <vt:lpstr>ws_01_col_last_p_copy</vt:lpstr>
      <vt:lpstr>ws_01_col_last_up</vt:lpstr>
      <vt:lpstr>ws_01_col_nvv</vt:lpstr>
      <vt:lpstr>ws_01_col_obj_1</vt:lpstr>
      <vt:lpstr>ws_01_col_obj_lgl_id</vt:lpstr>
      <vt:lpstr>ws_01_col_obj_name</vt:lpstr>
      <vt:lpstr>ws_01_col_oktmo</vt:lpstr>
      <vt:lpstr>ws_01_col_past</vt:lpstr>
      <vt:lpstr>ws_01_col_past_fact</vt:lpstr>
      <vt:lpstr>ws_01_fill</vt:lpstr>
      <vt:lpstr>ws_01_group_column</vt:lpstr>
      <vt:lpstr>ws_01_planyear_column</vt:lpstr>
      <vt:lpstr>ws_01_row_all_01</vt:lpstr>
      <vt:lpstr>ws_01_row_all_02</vt:lpstr>
      <vt:lpstr>ws_01_row_all_03</vt:lpstr>
      <vt:lpstr>ws_01_row_all_cncsn</vt:lpstr>
      <vt:lpstr>ws_01_row_all_ip</vt:lpstr>
      <vt:lpstr>ws_01_row_end</vt:lpstr>
      <vt:lpstr>ws_01_row_start</vt:lpstr>
      <vt:lpstr>ws_02_col_search_data</vt:lpstr>
      <vt:lpstr>ws_02_col_ter_del</vt:lpstr>
      <vt:lpstr>ws_02_fill_flag</vt:lpstr>
      <vt:lpstr>year_list</vt:lpstr>
    </vt:vector>
  </TitlesOfParts>
  <Company>ФАС России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Контроль за использованием инвестиционных ресурсов, включаемых в регулируемые государством цены (тарифы) в сфере теплоснабжения за 2020 год</dc:title>
  <dc:subject>Контроль за использованием инвестиционных ресурсов, включаемых в регулируемые государством цены (тарифы) в сфере теплоснабжения за 2020 год</dc:subject>
  <dc:creator>--</dc:creator>
  <dc:description/>
  <cp:lastModifiedBy>Вишняков Александр Сергеевич</cp:lastModifiedBy>
  <cp:lastPrinted>2015-06-22T12:32:49Z</cp:lastPrinted>
  <dcterms:created xsi:type="dcterms:W3CDTF">2004-05-21T07:18:45Z</dcterms:created>
  <dcterms:modified xsi:type="dcterms:W3CDTF">2024-03-07T09:29:45Z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INV.WARM.2020YEAR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1.1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PLAN</vt:lpwstr>
  </property>
  <property fmtid="{D5CDD505-2E9C-101B-9397-08002B2CF9AE}" pid="19" name="ProtectBook">
    <vt:i4>0</vt:i4>
  </property>
</Properties>
</file>